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WPF" sheetId="1" r:id="rId1"/>
    <sheet name="Materiały do prognozy budżetu" sheetId="2" r:id="rId2"/>
  </sheets>
  <definedNames/>
  <calcPr fullCalcOnLoad="1"/>
</workbook>
</file>

<file path=xl/sharedStrings.xml><?xml version="1.0" encoding="utf-8"?>
<sst xmlns="http://schemas.openxmlformats.org/spreadsheetml/2006/main" count="160" uniqueCount="130">
  <si>
    <t>1</t>
  </si>
  <si>
    <t>Wieloletnia Prognoza Finansowa</t>
  </si>
  <si>
    <t>L.p.</t>
  </si>
  <si>
    <t>Wyszczególnienie</t>
  </si>
  <si>
    <t>Wykonanie 2008</t>
  </si>
  <si>
    <t>Wykonanie 2009</t>
  </si>
  <si>
    <t>Plan 3kw. 2010</t>
  </si>
  <si>
    <t>Przewidywane wykonanie 2010</t>
  </si>
  <si>
    <t>Prognoza 2011</t>
  </si>
  <si>
    <t>Prognoza 2012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</si>
  <si>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</si>
  <si>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</si>
  <si>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</si>
  <si>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</si>
  <si>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</si>
  <si>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</si>
  <si>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</si>
  <si>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2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</si>
  <si>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</si>
  <si>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</si>
  <si>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</si>
  <si>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</si>
  <si>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</si>
  <si>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</si>
  <si>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</si>
  <si>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</si>
  <si>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</si>
  <si>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</si>
  <si>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</si>
  <si>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3</t>
  </si>
  <si>
    <t>Różnica (1-2)</t>
  </si>
  <si>
    <t>Prognoza 2013</t>
  </si>
  <si>
    <t>Prognoza 2014</t>
  </si>
  <si>
    <t>Prognoza 2015</t>
  </si>
  <si>
    <t>Prognoza 2016</t>
  </si>
  <si>
    <t>Prognoza 2017</t>
  </si>
  <si>
    <t>Prognoza 2018</t>
  </si>
  <si>
    <t>4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</si>
  <si>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</si>
  <si>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</si>
  <si>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</si>
  <si>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</si>
  <si>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</si>
  <si>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</si>
  <si>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</si>
  <si>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</si>
  <si>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</si>
  <si>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</si>
  <si>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</si>
  <si>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</si>
  <si>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</si>
  <si>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8</t>
  </si>
  <si>
    <t>Inne rozchody (bez spłaty długu np. udzielane pożyczki)</t>
  </si>
  <si>
    <t>9</t>
  </si>
  <si>
    <t>Środki do dyspozycji (6-7-8)</t>
  </si>
  <si>
    <t>10</t>
  </si>
  <si>
    <t>Wydatki majątkowe, w tym:</t>
  </si>
  <si>
    <t>10a</t>
  </si>
  <si>
    <t xml:space="preserve"> wydatki majątkowe objęte limitem art. 226 ust. 4 ufp</t>
  </si>
  <si>
    <t>11</t>
  </si>
  <si>
    <t>Przychody (kredyty, pożyczki, emisje obligacji)</t>
  </si>
  <si>
    <t>12</t>
  </si>
  <si>
    <t>Rozliczenie budżetu (9-10+11)</t>
  </si>
  <si>
    <t>13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</si>
  <si>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</si>
  <si>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</si>
  <si>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</si>
  <si>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</si>
  <si>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</si>
  <si>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</si>
  <si>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</si>
  <si>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</si>
  <si>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Relacja planowanej łącznej kwoty spłat zobowiązań do dochodów</t>
  </si>
  <si>
    <t>15a</t>
  </si>
  <si>
    <t>Maksymalny dopuszczalny wskaźnik spłaty z art. 243 ufp</t>
  </si>
  <si>
    <t>16</t>
  </si>
  <si>
    <t>Spełnienie wskaźnika spłaty z art. 243 ufp po uwzględnieniu art. 244 ufp</t>
  </si>
  <si>
    <t>17</t>
  </si>
  <si>
    <t>Planowana łączna kwota spłaty zobowiązań do dochodów ogółem -max 15% z art. 169 sufp</t>
  </si>
  <si>
    <t>18</t>
  </si>
  <si>
    <t>Zadłużenie/dochody ogółem [(13–13a):1] - max 60% z art. 170 sufp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</si>
  <si>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</si>
  <si>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</si>
  <si>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</si>
  <si>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</si>
  <si>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</si>
  <si>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</si>
  <si>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</si>
  <si>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</si>
  <si>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</si>
  <si>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</si>
  <si>
    <t>TAK</t>
  </si>
  <si>
    <t>WYKONANIE</t>
  </si>
  <si>
    <t>PLAN na 30.09.2010</t>
  </si>
  <si>
    <t>Plan</t>
  </si>
  <si>
    <t>A.DOCHODY OGÓŁEM (I+II)</t>
  </si>
  <si>
    <t>I.Dochody bieżące:</t>
  </si>
  <si>
    <t>1. z podatków i opłat</t>
  </si>
  <si>
    <t>2. z gospodarowania majątkiem gminy</t>
  </si>
  <si>
    <t>3. udziały w dochodach budżetu państwa</t>
  </si>
  <si>
    <t>4. subwencje</t>
  </si>
  <si>
    <t>5. dotacje</t>
  </si>
  <si>
    <t>a. zadania własne</t>
  </si>
  <si>
    <t>b. zadania zlecone i powierzone</t>
  </si>
  <si>
    <t>6. dochody pozostałe</t>
  </si>
  <si>
    <t>II. Dochody majątkowe:</t>
  </si>
  <si>
    <t>1. ze sprzedaży majątku</t>
  </si>
  <si>
    <t>B. ZACIĄGNIĘTE KREDYTY I POŻYCZKI</t>
  </si>
  <si>
    <t xml:space="preserve">C. NADWYŻKA Z LAT UBIEGŁYCH </t>
  </si>
  <si>
    <t>D. ŚRODKI DO DYSPOZYCJI (A+B+C)</t>
  </si>
  <si>
    <t>E. WYDATKI OGÓŁEM (1+2+3)</t>
  </si>
  <si>
    <t>1. Wydatki bieżące (bez odsetek i prowizji od: kredytów i pożyczek oraz wyemitowanych papierów wartościowych), w tym:</t>
  </si>
  <si>
    <t>a. na wynagrodzenia i składki od nich naliczane, w tym:</t>
  </si>
  <si>
    <t>b.związane z funkcjonowaniem organów JST</t>
  </si>
  <si>
    <t>c. z tytułu gwarancji i poręczeń, w tym:</t>
  </si>
  <si>
    <t>-</t>
  </si>
  <si>
    <t>d. gwarancje i poręczenia podlegające wyłączeniu z limitów spłaty zobowiązań z art. 243ufp/169 sufp</t>
  </si>
  <si>
    <t>e. wydatki bieżące objęte limitem art. 226 ust. 4 ufp</t>
  </si>
  <si>
    <t>2. Wydatki majątkowe, w tym:</t>
  </si>
  <si>
    <t>wydatki majątkowe objęte limitem art.226 ust. 4 ufp</t>
  </si>
  <si>
    <t>3. Odsetki od kredytów i pozyczek (akt+pl)</t>
  </si>
  <si>
    <t>F. SPŁATA AKTUALNYCH RAT KREDYTÓW I POŻYCZEK</t>
  </si>
  <si>
    <t>G. SPŁATA PLANOWANYCH RAT KREDYTÓW I POŻYCZEK</t>
  </si>
  <si>
    <t>H.RAZEM (E+F+G)</t>
  </si>
  <si>
    <t>I. ŚRODKI DO WYKORZYSTANIA (D-H)</t>
  </si>
  <si>
    <t>K.OBCIĄŻENIE BUDŻETU (E3+F+G)</t>
  </si>
  <si>
    <t>L.WSK.OBCIĄŻENIA (15%) (K/A*100%)</t>
  </si>
  <si>
    <t xml:space="preserve">M.ZADŁUŻENIE OGÓŁEM NA KONIEC ROKU </t>
  </si>
  <si>
    <t>N.WSK.ZADŁUŻENIA (60%)(M/A*100%)</t>
  </si>
  <si>
    <t xml:space="preserve">Załącznik Nr 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</si>
</sst>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\-#,##0.00\ "/>
    <numFmt numFmtId="166" formatCode="#,##0.00_ ;[Red]\-#,##0.00\ "/>
    <numFmt numFmtId="167" formatCode="#,##0.00\ &quot;zł&quot;"/>
    <numFmt numFmtId="168" formatCode="#,##0.00\ _z_ł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Protection="0">
      <alignment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0" fillId="24" borderId="10" xfId="57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57" applyNumberFormat="1" applyFont="1" applyFill="1" applyBorder="1" applyAlignment="1" applyProtection="1">
      <alignment horizontal="center" vertical="center" wrapText="1"/>
      <protection locked="0"/>
    </xf>
    <xf numFmtId="49" fontId="20" fillId="24" borderId="10" xfId="57" applyNumberFormat="1" applyFont="1" applyFill="1" applyBorder="1" applyAlignment="1" applyProtection="1">
      <alignment horizontal="left" vertical="center" wrapText="1"/>
      <protection locked="0"/>
    </xf>
    <xf numFmtId="49" fontId="21" fillId="24" borderId="10" xfId="57" applyNumberFormat="1" applyFont="1" applyFill="1" applyBorder="1" applyAlignment="1" applyProtection="1">
      <alignment horizontal="left" vertical="center" wrapText="1"/>
      <protection locked="0"/>
    </xf>
    <xf numFmtId="49" fontId="21" fillId="24" borderId="11" xfId="57" applyNumberFormat="1" applyFont="1" applyFill="1" applyBorder="1" applyAlignment="1" applyProtection="1">
      <alignment horizontal="left" vertical="center" wrapText="1"/>
      <protection locked="0"/>
    </xf>
    <xf numFmtId="49" fontId="20" fillId="24" borderId="11" xfId="57" applyNumberFormat="1" applyFont="1" applyFill="1" applyBorder="1" applyAlignment="1" applyProtection="1">
      <alignment horizontal="left" vertical="center" wrapText="1"/>
      <protection locked="0"/>
    </xf>
    <xf numFmtId="49" fontId="19" fillId="24" borderId="0" xfId="57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" fontId="27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12" fillId="0" borderId="10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10" fontId="28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4" fontId="28" fillId="0" borderId="10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horizontal="center"/>
    </xf>
    <xf numFmtId="49" fontId="12" fillId="24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24" borderId="13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49" fontId="19" fillId="24" borderId="0" xfId="57" applyNumberFormat="1" applyFont="1" applyFill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2" fillId="0" borderId="13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_Arkusz1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2"/>
  <sheetViews>
    <sheetView tabSelected="1" zoomScalePageLayoutView="0" workbookViewId="0" topLeftCell="A19">
      <selection activeCell="A2" sqref="A2:N2"/>
    </sheetView>
  </sheetViews>
  <sheetFormatPr defaultColWidth="9.140625" defaultRowHeight="12.75"/>
  <cols>
    <col min="1" max="1" width="5.8515625" style="0" customWidth="1"/>
    <col min="2" max="2" width="44.57421875" style="0" customWidth="1"/>
    <col min="3" max="3" width="11.57421875" style="0" customWidth="1"/>
    <col min="4" max="4" width="12.00390625" style="0" customWidth="1"/>
    <col min="5" max="5" width="11.57421875" style="0" customWidth="1"/>
    <col min="6" max="6" width="12.7109375" style="0" customWidth="1"/>
    <col min="7" max="7" width="11.57421875" style="0" customWidth="1"/>
    <col min="8" max="8" width="11.8515625" style="0" customWidth="1"/>
    <col min="9" max="10" width="12.28125" style="0" customWidth="1"/>
    <col min="11" max="11" width="11.8515625" style="0" customWidth="1"/>
    <col min="12" max="13" width="12.00390625" style="0" customWidth="1"/>
    <col min="14" max="14" width="11.57421875" style="0" customWidth="1"/>
  </cols>
  <sheetData>
    <row r="1" ht="12.75">
      <c r="N1" s="27" t="s">
        <v>129</v>
      </c>
    </row>
    <row r="2" spans="1:14" ht="26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7.5" customHeight="1">
      <c r="A4" s="26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31</v>
      </c>
      <c r="J4" s="25" t="s">
        <v>32</v>
      </c>
      <c r="K4" s="25" t="s">
        <v>33</v>
      </c>
      <c r="L4" s="25" t="s">
        <v>34</v>
      </c>
      <c r="M4" s="25" t="s">
        <v>35</v>
      </c>
      <c r="N4" s="25" t="s">
        <v>36</v>
      </c>
    </row>
    <row r="5" spans="1:14" ht="19.5" customHeight="1">
      <c r="A5" s="1" t="s">
        <v>0</v>
      </c>
      <c r="B5" s="3" t="s">
        <v>10</v>
      </c>
      <c r="C5" s="23">
        <f>C6+C7</f>
        <v>147278386.86</v>
      </c>
      <c r="D5" s="23">
        <f aca="true" t="shared" si="0" ref="D5:N5">D6+D7</f>
        <v>143436725.29</v>
      </c>
      <c r="E5" s="23">
        <f t="shared" si="0"/>
        <v>154987540.4</v>
      </c>
      <c r="F5" s="23">
        <f t="shared" si="0"/>
        <v>145813284.15</v>
      </c>
      <c r="G5" s="23">
        <f t="shared" si="0"/>
        <v>157337496.25</v>
      </c>
      <c r="H5" s="23">
        <f t="shared" si="0"/>
        <v>157824208.6365</v>
      </c>
      <c r="I5" s="23">
        <f t="shared" si="0"/>
        <v>160108621.0021125</v>
      </c>
      <c r="J5" s="23">
        <f t="shared" si="0"/>
        <v>162632464.37925333</v>
      </c>
      <c r="K5" s="23">
        <f t="shared" si="0"/>
        <v>165392540.70668617</v>
      </c>
      <c r="L5" s="23">
        <f t="shared" si="0"/>
        <v>168386358.0084629</v>
      </c>
      <c r="M5" s="23">
        <f t="shared" si="0"/>
        <v>171612101.72491845</v>
      </c>
      <c r="N5" s="23">
        <f t="shared" si="0"/>
        <v>174992005.60909912</v>
      </c>
    </row>
    <row r="6" spans="1:14" ht="19.5" customHeight="1">
      <c r="A6" s="2" t="s">
        <v>11</v>
      </c>
      <c r="B6" s="4" t="s">
        <v>12</v>
      </c>
      <c r="C6" s="8">
        <f>'Materiały do prognozy budżetu'!E4</f>
        <v>132654582.43</v>
      </c>
      <c r="D6" s="8">
        <f>'Materiały do prognozy budżetu'!F4</f>
        <v>126781215.76</v>
      </c>
      <c r="E6" s="8">
        <f>'Materiały do prognozy budżetu'!G4</f>
        <v>131159803.74</v>
      </c>
      <c r="F6" s="8">
        <v>125686423.05</v>
      </c>
      <c r="G6" s="8">
        <f>'Materiały do prognozy budżetu'!H4</f>
        <v>131329410.86</v>
      </c>
      <c r="H6" s="8">
        <f>'Materiały do prognozy budżetu'!I4</f>
        <v>135299745.5365</v>
      </c>
      <c r="I6" s="8">
        <f>'Materiały do prognozy budżetu'!J4</f>
        <v>139410870.3221125</v>
      </c>
      <c r="J6" s="8">
        <f>'Materiały do prognozy budżetu'!K4</f>
        <v>143657306.2392533</v>
      </c>
      <c r="K6" s="8">
        <f>'Materiały do prognozy budżetu'!L4</f>
        <v>148043737.38668618</v>
      </c>
      <c r="L6" s="8">
        <f>'Materiały do prognozy budżetu'!M4</f>
        <v>152575017.0184629</v>
      </c>
      <c r="M6" s="8">
        <f>'Materiały do prognozy budżetu'!N4</f>
        <v>157256173.85491845</v>
      </c>
      <c r="N6" s="8">
        <f>'Materiały do prognozy budżetu'!O4</f>
        <v>162004519.19909912</v>
      </c>
    </row>
    <row r="7" spans="1:14" ht="19.5" customHeight="1">
      <c r="A7" s="2" t="s">
        <v>13</v>
      </c>
      <c r="B7" s="4" t="s">
        <v>14</v>
      </c>
      <c r="C7" s="8">
        <f>'Materiały do prognozy budżetu'!E13</f>
        <v>14623804.43</v>
      </c>
      <c r="D7" s="8">
        <f>'Materiały do prognozy budżetu'!F13</f>
        <v>16655509.53</v>
      </c>
      <c r="E7" s="8">
        <f>'Materiały do prognozy budżetu'!G13</f>
        <v>23827736.66</v>
      </c>
      <c r="F7" s="8">
        <v>20126861.1</v>
      </c>
      <c r="G7" s="8">
        <f>'Materiały do prognozy budżetu'!H13</f>
        <v>26008085.39</v>
      </c>
      <c r="H7" s="8">
        <f>'Materiały do prognozy budżetu'!I13</f>
        <v>22524463.1</v>
      </c>
      <c r="I7" s="8">
        <f>'Materiały do prognozy budżetu'!J13</f>
        <v>20697750.68</v>
      </c>
      <c r="J7" s="8">
        <f>'Materiały do prognozy budżetu'!K13</f>
        <v>18975158.14</v>
      </c>
      <c r="K7" s="8">
        <f>'Materiały do prognozy budżetu'!L13</f>
        <v>17348803.32</v>
      </c>
      <c r="L7" s="8">
        <f>'Materiały do prognozy budżetu'!M13</f>
        <v>15811340.99</v>
      </c>
      <c r="M7" s="8">
        <f>'Materiały do prognozy budżetu'!N13</f>
        <v>14355927.87</v>
      </c>
      <c r="N7" s="8">
        <f>'Materiały do prognozy budżetu'!O13</f>
        <v>12987486.41</v>
      </c>
    </row>
    <row r="8" spans="1:14" ht="19.5" customHeight="1">
      <c r="A8" s="2" t="s">
        <v>15</v>
      </c>
      <c r="B8" s="4" t="s">
        <v>16</v>
      </c>
      <c r="C8" s="8">
        <f>'Materiały do prognozy budżetu'!E14</f>
        <v>11859698.64</v>
      </c>
      <c r="D8" s="8">
        <f>'Materiały do prognozy budżetu'!F14</f>
        <v>3459945.94</v>
      </c>
      <c r="E8" s="8">
        <f>'Materiały do prognozy budżetu'!G14</f>
        <v>8839370</v>
      </c>
      <c r="F8" s="8">
        <v>6699833.96</v>
      </c>
      <c r="G8" s="8">
        <f>'Materiały do prognozy budżetu'!H14</f>
        <v>12000000</v>
      </c>
      <c r="H8" s="8">
        <f>'Materiały do prognozy budżetu'!I14</f>
        <v>10000000</v>
      </c>
      <c r="I8" s="8">
        <f>'Materiały do prognozy budżetu'!J14</f>
        <v>10000000</v>
      </c>
      <c r="J8" s="8">
        <f>'Materiały do prognozy budżetu'!K14</f>
        <v>10000000</v>
      </c>
      <c r="K8" s="8">
        <f>'Materiały do prognozy budżetu'!L14</f>
        <v>10000000</v>
      </c>
      <c r="L8" s="8">
        <f>'Materiały do prognozy budżetu'!M14</f>
        <v>10000000</v>
      </c>
      <c r="M8" s="8">
        <f>'Materiały do prognozy budżetu'!N14</f>
        <v>10000000</v>
      </c>
      <c r="N8" s="8">
        <f>'Materiały do prognozy budżetu'!O14</f>
        <v>10000000</v>
      </c>
    </row>
    <row r="9" spans="1:14" ht="37.5" customHeight="1">
      <c r="A9" s="1" t="s">
        <v>17</v>
      </c>
      <c r="B9" s="3" t="s">
        <v>18</v>
      </c>
      <c r="C9" s="15">
        <f>'Materiały do prognozy budżetu'!E19</f>
        <v>111324177.81</v>
      </c>
      <c r="D9" s="15">
        <f>'Materiały do prognozy budżetu'!F19</f>
        <v>118285357.2</v>
      </c>
      <c r="E9" s="15">
        <f>'Materiały do prognozy budżetu'!G19</f>
        <v>121278771.79</v>
      </c>
      <c r="F9" s="15">
        <v>121873384.76</v>
      </c>
      <c r="G9" s="15">
        <f>'Materiały do prognozy budżetu'!H19</f>
        <v>107565843.64</v>
      </c>
      <c r="H9" s="15">
        <f>'Materiały do prognozy budżetu'!I19</f>
        <v>110254989.731</v>
      </c>
      <c r="I9" s="15">
        <f>'Materiały do prognozy budżetu'!J19</f>
        <v>113011364.47427501</v>
      </c>
      <c r="J9" s="15">
        <f>'Materiały do prognozy budżetu'!K19</f>
        <v>115836648.58613189</v>
      </c>
      <c r="K9" s="15">
        <f>'Materiały do prognozy budżetu'!L19</f>
        <v>118732564.80078518</v>
      </c>
      <c r="L9" s="15">
        <f>'Materiały do prognozy budżetu'!M19</f>
        <v>121700878.92080481</v>
      </c>
      <c r="M9" s="15">
        <f>'Materiały do prognozy budżetu'!N19</f>
        <v>124743400.89382493</v>
      </c>
      <c r="N9" s="15">
        <f>'Materiały do prognozy budżetu'!O19</f>
        <v>127737242.51527673</v>
      </c>
    </row>
    <row r="10" spans="1:14" ht="19.5" customHeight="1">
      <c r="A10" s="2" t="s">
        <v>19</v>
      </c>
      <c r="B10" s="4" t="s">
        <v>20</v>
      </c>
      <c r="C10" s="8">
        <f>'Materiały do prognozy budżetu'!E20</f>
        <v>54326239.62</v>
      </c>
      <c r="D10" s="8">
        <f>'Materiały do prognozy budżetu'!F20</f>
        <v>59468877.41</v>
      </c>
      <c r="E10" s="8">
        <f>'Materiały do prognozy budżetu'!G20</f>
        <v>62861903.39</v>
      </c>
      <c r="F10" s="8">
        <v>60581538.97</v>
      </c>
      <c r="G10" s="8">
        <f>'Materiały do prognozy budżetu'!H20</f>
        <v>53985265</v>
      </c>
      <c r="H10" s="8">
        <f>'Materiały do prognozy budżetu'!I20</f>
        <v>56398406.3455</v>
      </c>
      <c r="I10" s="8">
        <f>'Materiały do prognozy budżetu'!J20</f>
        <v>58919415.10914385</v>
      </c>
      <c r="J10" s="8">
        <f>'Materiały do prognozy budżetu'!K20</f>
        <v>61553112.964522585</v>
      </c>
      <c r="K10" s="8">
        <f>'Materiały do prognozy budżetu'!L20</f>
        <v>64304537.11403675</v>
      </c>
      <c r="L10" s="8">
        <f>'Materiały do prognozy budżetu'!M20</f>
        <v>67178949.92303419</v>
      </c>
      <c r="M10" s="8">
        <f>'Materiały do prognozy budżetu'!N20</f>
        <v>70181848.98459382</v>
      </c>
      <c r="N10" s="8">
        <f>'Materiały do prognozy budżetu'!O20</f>
        <v>73318977.63420516</v>
      </c>
    </row>
    <row r="11" spans="1:14" ht="19.5" customHeight="1">
      <c r="A11" s="2" t="s">
        <v>21</v>
      </c>
      <c r="B11" s="4" t="s">
        <v>22</v>
      </c>
      <c r="C11" s="8">
        <f>'Materiały do prognozy budżetu'!E21</f>
        <v>8887361.14</v>
      </c>
      <c r="D11" s="8">
        <f>'Materiały do prognozy budżetu'!F21</f>
        <v>9968140.79</v>
      </c>
      <c r="E11" s="8">
        <f>'Materiały do prognozy budżetu'!G21</f>
        <v>11060726</v>
      </c>
      <c r="F11" s="8">
        <v>11060726</v>
      </c>
      <c r="G11" s="8">
        <f>'Materiały do prognozy budżetu'!H21</f>
        <v>11285833</v>
      </c>
      <c r="H11" s="8">
        <f>'Materiały do prognozy budżetu'!I21</f>
        <v>11285833</v>
      </c>
      <c r="I11" s="8">
        <f>'Materiały do prognozy budżetu'!J21</f>
        <v>11285833</v>
      </c>
      <c r="J11" s="8">
        <f>'Materiały do prognozy budżetu'!K21</f>
        <v>11285833</v>
      </c>
      <c r="K11" s="8">
        <f>'Materiały do prognozy budżetu'!L21</f>
        <v>11398691.33</v>
      </c>
      <c r="L11" s="8">
        <f>'Materiały do prognozy budżetu'!M21</f>
        <v>11512678.2433</v>
      </c>
      <c r="M11" s="8">
        <f>'Materiały do prognozy budżetu'!N21</f>
        <v>11627805.025733</v>
      </c>
      <c r="N11" s="8">
        <f>'Materiały do prognozy budżetu'!O21</f>
        <v>11744083.07599033</v>
      </c>
    </row>
    <row r="12" spans="1:14" ht="19.5" customHeight="1">
      <c r="A12" s="2" t="s">
        <v>23</v>
      </c>
      <c r="B12" s="4" t="s">
        <v>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24.75" customHeight="1">
      <c r="A13" s="2" t="s">
        <v>25</v>
      </c>
      <c r="B13" s="4" t="s">
        <v>26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19.5" customHeight="1">
      <c r="A14" s="2" t="s">
        <v>27</v>
      </c>
      <c r="B14" s="4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17012562.68</v>
      </c>
      <c r="H14" s="8">
        <v>16815081.01</v>
      </c>
      <c r="I14" s="8">
        <v>16490207.23</v>
      </c>
      <c r="J14" s="8">
        <v>14601575.5</v>
      </c>
      <c r="K14" s="8">
        <v>8596848</v>
      </c>
      <c r="L14" s="8">
        <v>5981424</v>
      </c>
      <c r="M14" s="8">
        <v>6136488</v>
      </c>
      <c r="N14" s="8">
        <v>6216488</v>
      </c>
    </row>
    <row r="15" spans="1:14" ht="19.5" customHeight="1">
      <c r="A15" s="1" t="s">
        <v>29</v>
      </c>
      <c r="B15" s="3" t="s">
        <v>30</v>
      </c>
      <c r="C15" s="15">
        <f>C5-C9</f>
        <v>35954209.05000001</v>
      </c>
      <c r="D15" s="15">
        <f aca="true" t="shared" si="1" ref="D15:N15">D5-D9</f>
        <v>25151368.08999999</v>
      </c>
      <c r="E15" s="15">
        <f t="shared" si="1"/>
        <v>33708768.61</v>
      </c>
      <c r="F15" s="15">
        <f t="shared" si="1"/>
        <v>23939899.39</v>
      </c>
      <c r="G15" s="15">
        <f t="shared" si="1"/>
        <v>49771652.61</v>
      </c>
      <c r="H15" s="15">
        <f t="shared" si="1"/>
        <v>47569218.905499995</v>
      </c>
      <c r="I15" s="15">
        <f t="shared" si="1"/>
        <v>47097256.5278375</v>
      </c>
      <c r="J15" s="15">
        <f t="shared" si="1"/>
        <v>46795815.79312144</v>
      </c>
      <c r="K15" s="15">
        <f t="shared" si="1"/>
        <v>46659975.905900985</v>
      </c>
      <c r="L15" s="15">
        <f t="shared" si="1"/>
        <v>46685479.08765809</v>
      </c>
      <c r="M15" s="15">
        <f t="shared" si="1"/>
        <v>46868700.83109352</v>
      </c>
      <c r="N15" s="15">
        <f t="shared" si="1"/>
        <v>47254763.09382239</v>
      </c>
    </row>
    <row r="16" spans="1:14" ht="22.5">
      <c r="A16" s="1" t="s">
        <v>37</v>
      </c>
      <c r="B16" s="3" t="s">
        <v>38</v>
      </c>
      <c r="C16" s="15">
        <f>'Materiały do prognozy budżetu'!E16</f>
        <v>8445512.98</v>
      </c>
      <c r="D16" s="15">
        <f>'Materiały do prognozy budżetu'!F16</f>
        <v>6202230.9</v>
      </c>
      <c r="E16" s="15">
        <f>'Materiały do prognozy budżetu'!G16</f>
        <v>4526667.16</v>
      </c>
      <c r="F16" s="15">
        <v>4526667.16</v>
      </c>
      <c r="G16" s="15">
        <f>'Materiały do prognozy budżetu'!H16</f>
        <v>200095.6</v>
      </c>
      <c r="H16" s="15">
        <f>'Materiały do prognozy budżetu'!I16</f>
        <v>0</v>
      </c>
      <c r="I16" s="15">
        <f>'Materiały do prognozy budżetu'!J16</f>
        <v>0</v>
      </c>
      <c r="J16" s="15">
        <f>'Materiały do prognozy budżetu'!K16</f>
        <v>0</v>
      </c>
      <c r="K16" s="15">
        <f>'Materiały do prognozy budżetu'!L16</f>
        <v>0</v>
      </c>
      <c r="L16" s="15">
        <f>'Materiały do prognozy budżetu'!M16</f>
        <v>0</v>
      </c>
      <c r="M16" s="15">
        <f>'Materiały do prognozy budżetu'!N16</f>
        <v>0</v>
      </c>
      <c r="N16" s="15">
        <f>'Materiały do prognozy budżetu'!O16</f>
        <v>0</v>
      </c>
    </row>
    <row r="17" spans="1:14" ht="33.75">
      <c r="A17" s="2" t="s">
        <v>39</v>
      </c>
      <c r="B17" s="5" t="s">
        <v>40</v>
      </c>
      <c r="C17" s="8">
        <f>'Materiały do prognozy budżetu'!E16</f>
        <v>8445512.98</v>
      </c>
      <c r="D17" s="8">
        <f>'Materiały do prognozy budżetu'!F16</f>
        <v>6202230.9</v>
      </c>
      <c r="E17" s="8">
        <f>'Materiały do prognozy budżetu'!G16</f>
        <v>4526667.16</v>
      </c>
      <c r="F17" s="8">
        <v>4526667.16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9.5" customHeight="1">
      <c r="A18" s="1" t="s">
        <v>41</v>
      </c>
      <c r="B18" s="6" t="s">
        <v>42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19.5" customHeight="1">
      <c r="A19" s="1" t="s">
        <v>43</v>
      </c>
      <c r="B19" s="6" t="s">
        <v>44</v>
      </c>
      <c r="C19" s="15">
        <f>C15+C16+C18</f>
        <v>44399722.030000016</v>
      </c>
      <c r="D19" s="15">
        <f aca="true" t="shared" si="2" ref="D19:N19">D15+D16+D18</f>
        <v>31353598.989999987</v>
      </c>
      <c r="E19" s="15">
        <f t="shared" si="2"/>
        <v>38235435.769999996</v>
      </c>
      <c r="F19" s="15">
        <f t="shared" si="2"/>
        <v>28466566.55</v>
      </c>
      <c r="G19" s="15">
        <f t="shared" si="2"/>
        <v>49971748.21</v>
      </c>
      <c r="H19" s="15">
        <f t="shared" si="2"/>
        <v>47569218.905499995</v>
      </c>
      <c r="I19" s="15">
        <f t="shared" si="2"/>
        <v>47097256.5278375</v>
      </c>
      <c r="J19" s="15">
        <f t="shared" si="2"/>
        <v>46795815.79312144</v>
      </c>
      <c r="K19" s="15">
        <f t="shared" si="2"/>
        <v>46659975.905900985</v>
      </c>
      <c r="L19" s="15">
        <f t="shared" si="2"/>
        <v>46685479.08765809</v>
      </c>
      <c r="M19" s="15">
        <f t="shared" si="2"/>
        <v>46868700.83109352</v>
      </c>
      <c r="N19" s="15">
        <f t="shared" si="2"/>
        <v>47254763.09382239</v>
      </c>
    </row>
    <row r="20" spans="1:14" ht="19.5" customHeight="1">
      <c r="A20" s="1" t="s">
        <v>45</v>
      </c>
      <c r="B20" s="6" t="s">
        <v>46</v>
      </c>
      <c r="C20" s="15">
        <f>C21+C22</f>
        <v>8944730.58</v>
      </c>
      <c r="D20" s="15">
        <f aca="true" t="shared" si="3" ref="D20:N20">D21+D22</f>
        <v>9287820.02</v>
      </c>
      <c r="E20" s="15">
        <f t="shared" si="3"/>
        <v>12122146.170000002</v>
      </c>
      <c r="F20" s="15">
        <f t="shared" si="3"/>
        <v>11159075.129999999</v>
      </c>
      <c r="G20" s="15">
        <f t="shared" si="3"/>
        <v>11745898.36</v>
      </c>
      <c r="H20" s="15">
        <f t="shared" si="3"/>
        <v>13446722.48</v>
      </c>
      <c r="I20" s="15">
        <f t="shared" si="3"/>
        <v>10305508.97</v>
      </c>
      <c r="J20" s="15">
        <f t="shared" si="3"/>
        <v>9238647.5</v>
      </c>
      <c r="K20" s="15">
        <f t="shared" si="3"/>
        <v>8246400.01</v>
      </c>
      <c r="L20" s="15">
        <f t="shared" si="3"/>
        <v>7914430.36</v>
      </c>
      <c r="M20" s="15">
        <f t="shared" si="3"/>
        <v>6801643.5</v>
      </c>
      <c r="N20" s="15">
        <f t="shared" si="3"/>
        <v>3758660.05</v>
      </c>
    </row>
    <row r="21" spans="1:14" ht="24.75" customHeight="1">
      <c r="A21" s="2" t="s">
        <v>47</v>
      </c>
      <c r="B21" s="5" t="s">
        <v>48</v>
      </c>
      <c r="C21" s="8">
        <f>'Materiały do prognozy budżetu'!E28</f>
        <v>6805700</v>
      </c>
      <c r="D21" s="8">
        <f>'Materiały do prognozy budżetu'!F28</f>
        <v>7663056.51</v>
      </c>
      <c r="E21" s="8">
        <f>'Materiały do prognozy budżetu'!G28</f>
        <v>8783989.72</v>
      </c>
      <c r="F21" s="8">
        <v>7845918.68</v>
      </c>
      <c r="G21" s="8">
        <f>'Materiały do prognozy budżetu'!H28</f>
        <v>8466358.36</v>
      </c>
      <c r="H21" s="8">
        <f>'Materiały do prognozy budżetu'!I28</f>
        <v>11200000</v>
      </c>
      <c r="I21" s="8">
        <f>'Materiały do prognozy budżetu'!J28</f>
        <v>8550000</v>
      </c>
      <c r="J21" s="8">
        <f>'Materiały do prognozy budżetu'!K28</f>
        <v>7850000</v>
      </c>
      <c r="K21" s="8">
        <f>'Materiały do prognozy budżetu'!L28</f>
        <v>7200000</v>
      </c>
      <c r="L21" s="8">
        <f>'Materiały do prognozy budżetu'!M28</f>
        <v>7200000</v>
      </c>
      <c r="M21" s="8">
        <f>'Materiały do prognozy budżetu'!N28</f>
        <v>6400000</v>
      </c>
      <c r="N21" s="8">
        <f>'Materiały do prognozy budżetu'!O28</f>
        <v>3600000</v>
      </c>
    </row>
    <row r="22" spans="1:14" ht="19.5" customHeight="1">
      <c r="A22" s="2" t="s">
        <v>49</v>
      </c>
      <c r="B22" s="5" t="s">
        <v>50</v>
      </c>
      <c r="C22" s="8">
        <f>'Materiały do prognozy budżetu'!E27</f>
        <v>2139030.58</v>
      </c>
      <c r="D22" s="8">
        <f>'Materiały do prognozy budżetu'!F27</f>
        <v>1624763.51</v>
      </c>
      <c r="E22" s="8">
        <f>'Materiały do prognozy budżetu'!G27</f>
        <v>3338156.45</v>
      </c>
      <c r="F22" s="8">
        <v>3313156.45</v>
      </c>
      <c r="G22" s="8">
        <f>'Materiały do prognozy budżetu'!H27</f>
        <v>3279540</v>
      </c>
      <c r="H22" s="8">
        <f>'Materiały do prognozy budżetu'!I27</f>
        <v>2246722.48</v>
      </c>
      <c r="I22" s="8">
        <f>'Materiały do prognozy budżetu'!J27</f>
        <v>1755508.97</v>
      </c>
      <c r="J22" s="8">
        <f>'Materiały do prognozy budżetu'!K27</f>
        <v>1388647.5</v>
      </c>
      <c r="K22" s="8">
        <f>'Materiały do prognozy budżetu'!L27</f>
        <v>1046400.01</v>
      </c>
      <c r="L22" s="8">
        <f>'Materiały do prognozy budżetu'!M27</f>
        <v>714430.36</v>
      </c>
      <c r="M22" s="8">
        <f>'Materiały do prognozy budżetu'!N27</f>
        <v>401643.5</v>
      </c>
      <c r="N22" s="8">
        <f>'Materiały do prognozy budżetu'!O27</f>
        <v>158660.05</v>
      </c>
    </row>
    <row r="23" spans="1:14" ht="22.5">
      <c r="A23" s="1" t="s">
        <v>51</v>
      </c>
      <c r="B23" s="6" t="s">
        <v>52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ht="19.5" customHeight="1">
      <c r="A24" s="1" t="s">
        <v>53</v>
      </c>
      <c r="B24" s="6" t="s">
        <v>54</v>
      </c>
      <c r="C24" s="15">
        <f>C19-C20-C23</f>
        <v>35454991.45000002</v>
      </c>
      <c r="D24" s="15">
        <f aca="true" t="shared" si="4" ref="D24:N24">D19-D20-D23</f>
        <v>22065778.969999988</v>
      </c>
      <c r="E24" s="15">
        <f t="shared" si="4"/>
        <v>26113289.599999994</v>
      </c>
      <c r="F24" s="15">
        <f t="shared" si="4"/>
        <v>17307491.42</v>
      </c>
      <c r="G24" s="15">
        <f t="shared" si="4"/>
        <v>38225849.85</v>
      </c>
      <c r="H24" s="15">
        <f t="shared" si="4"/>
        <v>34122496.42549999</v>
      </c>
      <c r="I24" s="15">
        <f t="shared" si="4"/>
        <v>36791747.5578375</v>
      </c>
      <c r="J24" s="15">
        <f t="shared" si="4"/>
        <v>37557168.29312144</v>
      </c>
      <c r="K24" s="15">
        <f t="shared" si="4"/>
        <v>38413575.89590099</v>
      </c>
      <c r="L24" s="15">
        <f t="shared" si="4"/>
        <v>38771048.72765809</v>
      </c>
      <c r="M24" s="15">
        <f t="shared" si="4"/>
        <v>40067057.33109352</v>
      </c>
      <c r="N24" s="15">
        <f t="shared" si="4"/>
        <v>43496103.04382239</v>
      </c>
    </row>
    <row r="25" spans="1:14" ht="19.5" customHeight="1">
      <c r="A25" s="1" t="s">
        <v>55</v>
      </c>
      <c r="B25" s="6" t="s">
        <v>56</v>
      </c>
      <c r="C25" s="15">
        <f>'Materiały do prognozy budżetu'!E25</f>
        <v>35140785</v>
      </c>
      <c r="D25" s="15">
        <f>'Materiały do prognozy budżetu'!F25</f>
        <v>42539112.17</v>
      </c>
      <c r="E25" s="15">
        <f>'Materiały do prognozy budżetu'!G25</f>
        <v>44113289.6</v>
      </c>
      <c r="F25" s="15">
        <v>35307491.42</v>
      </c>
      <c r="G25" s="15">
        <f>'Materiały do prognozy budżetu'!H25</f>
        <v>38225849.85</v>
      </c>
      <c r="H25" s="15">
        <f>'Materiały do prognozy budżetu'!I25</f>
        <v>34122496.43</v>
      </c>
      <c r="I25" s="15">
        <f>'Materiały do prognozy budżetu'!J25</f>
        <v>36791747.56</v>
      </c>
      <c r="J25" s="15">
        <f>'Materiały do prognozy budżetu'!K25</f>
        <v>37557168.29</v>
      </c>
      <c r="K25" s="15">
        <f>'Materiały do prognozy budżetu'!L25</f>
        <v>38413575.9</v>
      </c>
      <c r="L25" s="15">
        <f>'Materiały do prognozy budżetu'!M25</f>
        <v>38771048.73</v>
      </c>
      <c r="M25" s="15">
        <f>'Materiały do prognozy budżetu'!N25</f>
        <v>40067057.33</v>
      </c>
      <c r="N25" s="15">
        <f>'Materiały do prognozy budżetu'!O25</f>
        <v>43496103.04</v>
      </c>
    </row>
    <row r="26" spans="1:14" ht="19.5" customHeight="1">
      <c r="A26" s="2" t="s">
        <v>57</v>
      </c>
      <c r="B26" s="5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35785776.65</v>
      </c>
      <c r="H26" s="8">
        <v>45082936.48</v>
      </c>
      <c r="I26" s="8">
        <v>27765221.11</v>
      </c>
      <c r="J26" s="8">
        <v>10900000</v>
      </c>
      <c r="K26" s="8">
        <v>4600000</v>
      </c>
      <c r="L26" s="8">
        <v>0</v>
      </c>
      <c r="M26" s="8">
        <v>0</v>
      </c>
      <c r="N26" s="8">
        <v>0</v>
      </c>
    </row>
    <row r="27" spans="1:14" ht="19.5" customHeight="1">
      <c r="A27" s="1" t="s">
        <v>59</v>
      </c>
      <c r="B27" s="6" t="s">
        <v>60</v>
      </c>
      <c r="C27" s="15">
        <f>'Materiały do prognozy budżetu'!E15</f>
        <v>6567979.44</v>
      </c>
      <c r="D27" s="15">
        <f>'Materiały do prognozy budżetu'!F15</f>
        <v>25000000</v>
      </c>
      <c r="E27" s="15">
        <f>'Materiały do prognozy budżetu'!G15</f>
        <v>18000000</v>
      </c>
      <c r="F27" s="15">
        <v>18000000</v>
      </c>
      <c r="G27" s="15">
        <f>'Materiały do prognozy budżetu'!H15</f>
        <v>0</v>
      </c>
      <c r="H27" s="15">
        <f>'Materiały do prognozy budżetu'!I15</f>
        <v>0</v>
      </c>
      <c r="I27" s="15">
        <f>'Materiały do prognozy budżetu'!J15</f>
        <v>0</v>
      </c>
      <c r="J27" s="15">
        <f>'Materiały do prognozy budżetu'!K15</f>
        <v>0</v>
      </c>
      <c r="K27" s="15">
        <f>'Materiały do prognozy budżetu'!L15</f>
        <v>0</v>
      </c>
      <c r="L27" s="15">
        <f>'Materiały do prognozy budżetu'!M15</f>
        <v>0</v>
      </c>
      <c r="M27" s="15">
        <f>'Materiały do prognozy budżetu'!N15</f>
        <v>0</v>
      </c>
      <c r="N27" s="15">
        <f>'Materiały do prognozy budżetu'!O15</f>
        <v>0</v>
      </c>
    </row>
    <row r="28" spans="1:14" ht="19.5" customHeight="1">
      <c r="A28" s="1" t="s">
        <v>61</v>
      </c>
      <c r="B28" s="6" t="s">
        <v>62</v>
      </c>
      <c r="C28" s="15">
        <f>C24-C25+C27</f>
        <v>6882185.890000018</v>
      </c>
      <c r="D28" s="15">
        <f aca="true" t="shared" si="5" ref="D28:N28">D24-D25+D27</f>
        <v>4526666.799999986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5">
        <f t="shared" si="5"/>
        <v>-0.004500009119510651</v>
      </c>
      <c r="I28" s="15">
        <f t="shared" si="5"/>
        <v>-0.0021625012159347534</v>
      </c>
      <c r="J28" s="15">
        <f t="shared" si="5"/>
        <v>0.0031214430928230286</v>
      </c>
      <c r="K28" s="15">
        <f t="shared" si="5"/>
        <v>-0.004099011421203613</v>
      </c>
      <c r="L28" s="15">
        <f t="shared" si="5"/>
        <v>-0.0023419037461280823</v>
      </c>
      <c r="M28" s="15">
        <f t="shared" si="5"/>
        <v>0.0010935217142105103</v>
      </c>
      <c r="N28" s="15">
        <f t="shared" si="5"/>
        <v>0.0038223937153816223</v>
      </c>
    </row>
    <row r="29" spans="1:14" ht="19.5" customHeight="1">
      <c r="A29" s="1" t="s">
        <v>63</v>
      </c>
      <c r="B29" s="6" t="s">
        <v>64</v>
      </c>
      <c r="C29" s="15">
        <f>'Materiały do prognozy budżetu'!E34</f>
        <v>38494136.69</v>
      </c>
      <c r="D29" s="15">
        <f>'Materiały do prognozy budżetu'!F34</f>
        <v>55831080.18</v>
      </c>
      <c r="E29" s="15">
        <f>'Materiały do prognozy budżetu'!G34</f>
        <v>62904429.36</v>
      </c>
      <c r="F29" s="15">
        <v>60466358.36</v>
      </c>
      <c r="G29" s="15">
        <f>'Materiały do prognozy budżetu'!H34</f>
        <v>52000000</v>
      </c>
      <c r="H29" s="15">
        <f>'Materiały do prognozy budżetu'!I34</f>
        <v>40800000</v>
      </c>
      <c r="I29" s="15">
        <f>'Materiały do prognozy budżetu'!J34</f>
        <v>32250000</v>
      </c>
      <c r="J29" s="15">
        <f>'Materiały do prognozy budżetu'!K34</f>
        <v>24400000</v>
      </c>
      <c r="K29" s="15">
        <f>'Materiały do prognozy budżetu'!L34</f>
        <v>17200000</v>
      </c>
      <c r="L29" s="15">
        <f>'Materiały do prognozy budżetu'!M34</f>
        <v>10000000</v>
      </c>
      <c r="M29" s="15">
        <f>'Materiały do prognozy budżetu'!N34</f>
        <v>3600000</v>
      </c>
      <c r="N29" s="15">
        <f>'Materiały do prognozy budżetu'!O34</f>
        <v>0</v>
      </c>
    </row>
    <row r="30" spans="1:14" ht="22.5">
      <c r="A30" s="2" t="s">
        <v>65</v>
      </c>
      <c r="B30" s="5" t="s">
        <v>66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ht="22.5">
      <c r="A31" s="2" t="s">
        <v>67</v>
      </c>
      <c r="B31" s="5" t="s">
        <v>68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ht="40.5" customHeight="1">
      <c r="A32" s="1" t="s">
        <v>69</v>
      </c>
      <c r="B32" s="6" t="s">
        <v>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22.5">
      <c r="A33" s="1" t="s">
        <v>71</v>
      </c>
      <c r="B33" s="6" t="s">
        <v>72</v>
      </c>
      <c r="C33" s="21">
        <f>(C20+C12)/C5</f>
        <v>0.06073349098060592</v>
      </c>
      <c r="D33" s="21">
        <f aca="true" t="shared" si="6" ref="D33:N33">(D20+D12)/D5</f>
        <v>0.06475203614152449</v>
      </c>
      <c r="E33" s="21">
        <f t="shared" si="6"/>
        <v>0.07821368181412859</v>
      </c>
      <c r="F33" s="21">
        <f t="shared" si="6"/>
        <v>0.07652989365852644</v>
      </c>
      <c r="G33" s="21">
        <f t="shared" si="6"/>
        <v>0.07465415835355903</v>
      </c>
      <c r="H33" s="21">
        <f t="shared" si="6"/>
        <v>0.08520063300916293</v>
      </c>
      <c r="I33" s="21">
        <f t="shared" si="6"/>
        <v>0.06436573437144293</v>
      </c>
      <c r="J33" s="21">
        <f t="shared" si="6"/>
        <v>0.05680690835782818</v>
      </c>
      <c r="K33" s="21">
        <f t="shared" si="6"/>
        <v>0.049859564250993034</v>
      </c>
      <c r="L33" s="21">
        <f t="shared" si="6"/>
        <v>0.0470016125629502</v>
      </c>
      <c r="M33" s="21">
        <f t="shared" si="6"/>
        <v>0.03963382204188917</v>
      </c>
      <c r="N33" s="21">
        <f t="shared" si="6"/>
        <v>0.021479038639034602</v>
      </c>
    </row>
    <row r="34" spans="1:14" ht="24.75" customHeight="1">
      <c r="A34" s="1" t="s">
        <v>73</v>
      </c>
      <c r="B34" s="6" t="s">
        <v>74</v>
      </c>
      <c r="C34" s="21">
        <v>0</v>
      </c>
      <c r="D34" s="21">
        <v>0</v>
      </c>
      <c r="E34" s="21">
        <v>0</v>
      </c>
      <c r="F34" s="21">
        <v>0</v>
      </c>
      <c r="G34" s="21">
        <v>0.1273</v>
      </c>
      <c r="H34" s="21">
        <v>0.126</v>
      </c>
      <c r="I34" s="21">
        <v>0.1714</v>
      </c>
      <c r="J34" s="21">
        <v>0.2106</v>
      </c>
      <c r="K34" s="21">
        <v>0.2165</v>
      </c>
      <c r="L34" s="21">
        <v>0.2243</v>
      </c>
      <c r="M34" s="21">
        <v>0.2317</v>
      </c>
      <c r="N34" s="21">
        <v>0.2388</v>
      </c>
    </row>
    <row r="35" spans="1:14" ht="22.5">
      <c r="A35" s="1" t="s">
        <v>75</v>
      </c>
      <c r="B35" s="6" t="s">
        <v>76</v>
      </c>
      <c r="C35" s="24" t="s">
        <v>91</v>
      </c>
      <c r="D35" s="24" t="s">
        <v>91</v>
      </c>
      <c r="E35" s="24" t="s">
        <v>91</v>
      </c>
      <c r="F35" s="24" t="s">
        <v>91</v>
      </c>
      <c r="G35" s="24" t="s">
        <v>91</v>
      </c>
      <c r="H35" s="24" t="s">
        <v>91</v>
      </c>
      <c r="I35" s="24" t="s">
        <v>91</v>
      </c>
      <c r="J35" s="24" t="s">
        <v>91</v>
      </c>
      <c r="K35" s="24" t="s">
        <v>91</v>
      </c>
      <c r="L35" s="24" t="s">
        <v>91</v>
      </c>
      <c r="M35" s="24" t="s">
        <v>91</v>
      </c>
      <c r="N35" s="24" t="s">
        <v>91</v>
      </c>
    </row>
    <row r="36" spans="1:14" ht="24.75" customHeight="1">
      <c r="A36" s="1" t="s">
        <v>77</v>
      </c>
      <c r="B36" s="6" t="s">
        <v>78</v>
      </c>
      <c r="C36" s="21">
        <f>(C21+C12+C22-C13)/C5</f>
        <v>0.06073349098060592</v>
      </c>
      <c r="D36" s="21">
        <f aca="true" t="shared" si="7" ref="D36:N36">(D21+D12+D22-D13)/D5</f>
        <v>0.06475203614152449</v>
      </c>
      <c r="E36" s="21">
        <f t="shared" si="7"/>
        <v>0.07821368181412859</v>
      </c>
      <c r="F36" s="21">
        <f t="shared" si="7"/>
        <v>0.07652989365852644</v>
      </c>
      <c r="G36" s="21">
        <f t="shared" si="7"/>
        <v>0.07465415835355903</v>
      </c>
      <c r="H36" s="21">
        <f t="shared" si="7"/>
        <v>0.08520063300916293</v>
      </c>
      <c r="I36" s="21">
        <f t="shared" si="7"/>
        <v>0.06436573437144293</v>
      </c>
      <c r="J36" s="21">
        <f t="shared" si="7"/>
        <v>0.05680690835782818</v>
      </c>
      <c r="K36" s="21">
        <f t="shared" si="7"/>
        <v>0.049859564250993034</v>
      </c>
      <c r="L36" s="21">
        <f t="shared" si="7"/>
        <v>0.0470016125629502</v>
      </c>
      <c r="M36" s="21">
        <f t="shared" si="7"/>
        <v>0.03963382204188917</v>
      </c>
      <c r="N36" s="21">
        <f t="shared" si="7"/>
        <v>0.021479038639034602</v>
      </c>
    </row>
    <row r="37" spans="1:14" ht="25.5" customHeight="1">
      <c r="A37" s="1" t="s">
        <v>79</v>
      </c>
      <c r="B37" s="6" t="s">
        <v>80</v>
      </c>
      <c r="C37" s="21">
        <f>(C29-C30)/C5</f>
        <v>0.2613698962264693</v>
      </c>
      <c r="D37" s="21">
        <f aca="true" t="shared" si="8" ref="D37:N37">(D29-D30)/D5</f>
        <v>0.38923839112417596</v>
      </c>
      <c r="E37" s="21">
        <f t="shared" si="8"/>
        <v>0.40586765360397964</v>
      </c>
      <c r="F37" s="21">
        <f t="shared" si="8"/>
        <v>0.414683468056295</v>
      </c>
      <c r="G37" s="21">
        <f t="shared" si="8"/>
        <v>0.33049972981249853</v>
      </c>
      <c r="H37" s="21">
        <f t="shared" si="8"/>
        <v>0.25851547333888664</v>
      </c>
      <c r="I37" s="21">
        <f t="shared" si="8"/>
        <v>0.20142575582844152</v>
      </c>
      <c r="J37" s="21">
        <f t="shared" si="8"/>
        <v>0.15003154562732343</v>
      </c>
      <c r="K37" s="21">
        <f t="shared" si="8"/>
        <v>0.1039950165013982</v>
      </c>
      <c r="L37" s="21">
        <f t="shared" si="8"/>
        <v>0.05938723373004725</v>
      </c>
      <c r="M37" s="21">
        <f t="shared" si="8"/>
        <v>0.0209775415825309</v>
      </c>
      <c r="N37" s="21">
        <f t="shared" si="8"/>
        <v>0</v>
      </c>
    </row>
    <row r="38" spans="1:14" ht="19.5" customHeight="1">
      <c r="A38" s="1" t="s">
        <v>81</v>
      </c>
      <c r="B38" s="6" t="s">
        <v>82</v>
      </c>
      <c r="C38" s="15">
        <f>C9+C22</f>
        <v>113463208.39</v>
      </c>
      <c r="D38" s="15">
        <f aca="true" t="shared" si="9" ref="D38:N38">D9+D22</f>
        <v>119910120.71000001</v>
      </c>
      <c r="E38" s="15">
        <f t="shared" si="9"/>
        <v>124616928.24000001</v>
      </c>
      <c r="F38" s="15">
        <f t="shared" si="9"/>
        <v>125186541.21000001</v>
      </c>
      <c r="G38" s="15">
        <f t="shared" si="9"/>
        <v>110845383.64</v>
      </c>
      <c r="H38" s="15">
        <f t="shared" si="9"/>
        <v>112501712.21100001</v>
      </c>
      <c r="I38" s="15">
        <f t="shared" si="9"/>
        <v>114766873.444275</v>
      </c>
      <c r="J38" s="15">
        <f t="shared" si="9"/>
        <v>117225296.08613189</v>
      </c>
      <c r="K38" s="15">
        <f t="shared" si="9"/>
        <v>119778964.81078519</v>
      </c>
      <c r="L38" s="15">
        <f t="shared" si="9"/>
        <v>122415309.28080481</v>
      </c>
      <c r="M38" s="15">
        <f t="shared" si="9"/>
        <v>125145044.39382493</v>
      </c>
      <c r="N38" s="15">
        <f t="shared" si="9"/>
        <v>127895902.56527673</v>
      </c>
    </row>
    <row r="39" spans="1:14" ht="19.5" customHeight="1">
      <c r="A39" s="1" t="s">
        <v>83</v>
      </c>
      <c r="B39" s="6" t="s">
        <v>84</v>
      </c>
      <c r="C39" s="15">
        <f>C25+C38</f>
        <v>148603993.39</v>
      </c>
      <c r="D39" s="15">
        <f aca="true" t="shared" si="10" ref="D39:N39">D25+D38</f>
        <v>162449232.88</v>
      </c>
      <c r="E39" s="15">
        <f t="shared" si="10"/>
        <v>168730217.84</v>
      </c>
      <c r="F39" s="15">
        <f t="shared" si="10"/>
        <v>160494032.63</v>
      </c>
      <c r="G39" s="15">
        <f t="shared" si="10"/>
        <v>149071233.49</v>
      </c>
      <c r="H39" s="15">
        <f t="shared" si="10"/>
        <v>146624208.641</v>
      </c>
      <c r="I39" s="15">
        <f t="shared" si="10"/>
        <v>151558621.00427502</v>
      </c>
      <c r="J39" s="15">
        <f t="shared" si="10"/>
        <v>154782464.3761319</v>
      </c>
      <c r="K39" s="15">
        <f t="shared" si="10"/>
        <v>158192540.71078518</v>
      </c>
      <c r="L39" s="15">
        <f t="shared" si="10"/>
        <v>161186358.0108048</v>
      </c>
      <c r="M39" s="15">
        <f t="shared" si="10"/>
        <v>165212101.72382492</v>
      </c>
      <c r="N39" s="15">
        <f t="shared" si="10"/>
        <v>171392005.60527673</v>
      </c>
    </row>
    <row r="40" spans="1:14" ht="19.5" customHeight="1">
      <c r="A40" s="1" t="s">
        <v>85</v>
      </c>
      <c r="B40" s="6" t="s">
        <v>86</v>
      </c>
      <c r="C40" s="15">
        <f>C5-C39</f>
        <v>-1325606.5299999714</v>
      </c>
      <c r="D40" s="15">
        <f aca="true" t="shared" si="11" ref="D40:N40">D5-D39</f>
        <v>-19012507.590000004</v>
      </c>
      <c r="E40" s="15">
        <f t="shared" si="11"/>
        <v>-13742677.439999998</v>
      </c>
      <c r="F40" s="15">
        <f t="shared" si="11"/>
        <v>-14680748.47999999</v>
      </c>
      <c r="G40" s="15">
        <f t="shared" si="11"/>
        <v>8266262.75999999</v>
      </c>
      <c r="H40" s="15">
        <f t="shared" si="11"/>
        <v>11199999.995499998</v>
      </c>
      <c r="I40" s="15">
        <f t="shared" si="11"/>
        <v>8549999.997837484</v>
      </c>
      <c r="J40" s="15">
        <f t="shared" si="11"/>
        <v>7850000.003121436</v>
      </c>
      <c r="K40" s="15">
        <f t="shared" si="11"/>
        <v>7199999.995900989</v>
      </c>
      <c r="L40" s="15">
        <f t="shared" si="11"/>
        <v>7199999.997658104</v>
      </c>
      <c r="M40" s="15">
        <f t="shared" si="11"/>
        <v>6400000.001093537</v>
      </c>
      <c r="N40" s="15">
        <f t="shared" si="11"/>
        <v>3600000.0038223863</v>
      </c>
    </row>
    <row r="41" spans="1:14" ht="19.5" customHeight="1">
      <c r="A41" s="1" t="s">
        <v>87</v>
      </c>
      <c r="B41" s="6" t="s">
        <v>88</v>
      </c>
      <c r="C41" s="15">
        <f>C16+C18+C27</f>
        <v>15013492.420000002</v>
      </c>
      <c r="D41" s="15">
        <f aca="true" t="shared" si="12" ref="D41:N41">D16+D18+D27</f>
        <v>31202230.9</v>
      </c>
      <c r="E41" s="15">
        <f t="shared" si="12"/>
        <v>22526667.16</v>
      </c>
      <c r="F41" s="15">
        <f t="shared" si="12"/>
        <v>22526667.16</v>
      </c>
      <c r="G41" s="15">
        <f t="shared" si="12"/>
        <v>200095.6</v>
      </c>
      <c r="H41" s="15">
        <f t="shared" si="12"/>
        <v>0</v>
      </c>
      <c r="I41" s="15">
        <f t="shared" si="12"/>
        <v>0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12"/>
        <v>0</v>
      </c>
    </row>
    <row r="42" spans="1:14" ht="19.5" customHeight="1">
      <c r="A42" s="1" t="s">
        <v>89</v>
      </c>
      <c r="B42" s="3" t="s">
        <v>90</v>
      </c>
      <c r="C42" s="15">
        <f>C21+C23</f>
        <v>6805700</v>
      </c>
      <c r="D42" s="15">
        <f aca="true" t="shared" si="13" ref="D42:N42">D21+D23</f>
        <v>7663056.51</v>
      </c>
      <c r="E42" s="15">
        <f t="shared" si="13"/>
        <v>8783989.72</v>
      </c>
      <c r="F42" s="15">
        <f t="shared" si="13"/>
        <v>7845918.68</v>
      </c>
      <c r="G42" s="15">
        <f t="shared" si="13"/>
        <v>8466358.36</v>
      </c>
      <c r="H42" s="15">
        <f t="shared" si="13"/>
        <v>11200000</v>
      </c>
      <c r="I42" s="15">
        <f t="shared" si="13"/>
        <v>8550000</v>
      </c>
      <c r="J42" s="15">
        <f t="shared" si="13"/>
        <v>7850000</v>
      </c>
      <c r="K42" s="15">
        <f t="shared" si="13"/>
        <v>7200000</v>
      </c>
      <c r="L42" s="15">
        <f t="shared" si="13"/>
        <v>7200000</v>
      </c>
      <c r="M42" s="15">
        <f t="shared" si="13"/>
        <v>6400000</v>
      </c>
      <c r="N42" s="15">
        <f t="shared" si="13"/>
        <v>3600000</v>
      </c>
    </row>
  </sheetData>
  <sheetProtection/>
  <mergeCells count="1">
    <mergeCell ref="A2:N2"/>
  </mergeCells>
  <printOptions/>
  <pageMargins left="0" right="0" top="0.984251968503937" bottom="0.787401574803149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40"/>
  <sheetViews>
    <sheetView zoomScalePageLayoutView="0" workbookViewId="0" topLeftCell="A22">
      <selection activeCell="H34" sqref="H34"/>
    </sheetView>
  </sheetViews>
  <sheetFormatPr defaultColWidth="9.140625" defaultRowHeight="12.75"/>
  <cols>
    <col min="3" max="3" width="8.28125" style="0" customWidth="1"/>
    <col min="4" max="4" width="11.421875" style="0" customWidth="1"/>
    <col min="5" max="5" width="12.140625" style="0" customWidth="1"/>
    <col min="6" max="6" width="11.7109375" style="0" customWidth="1"/>
    <col min="7" max="7" width="11.421875" style="0" customWidth="1"/>
    <col min="8" max="9" width="11.57421875" style="0" customWidth="1"/>
    <col min="10" max="10" width="12.00390625" style="0" customWidth="1"/>
    <col min="11" max="11" width="11.57421875" style="0" customWidth="1"/>
    <col min="12" max="12" width="12.00390625" style="0" customWidth="1"/>
    <col min="13" max="14" width="11.57421875" style="0" customWidth="1"/>
    <col min="15" max="15" width="11.8515625" style="0" customWidth="1"/>
  </cols>
  <sheetData>
    <row r="1" spans="1:16" ht="12.75" customHeight="1">
      <c r="A1" s="49"/>
      <c r="B1" s="50"/>
      <c r="C1" s="51"/>
      <c r="D1" s="34" t="s">
        <v>92</v>
      </c>
      <c r="E1" s="35"/>
      <c r="F1" s="36"/>
      <c r="G1" s="39" t="s">
        <v>93</v>
      </c>
      <c r="H1" s="31" t="s">
        <v>94</v>
      </c>
      <c r="I1" s="32"/>
      <c r="J1" s="32"/>
      <c r="K1" s="33"/>
      <c r="L1" s="31" t="s">
        <v>94</v>
      </c>
      <c r="M1" s="32"/>
      <c r="N1" s="32"/>
      <c r="O1" s="32"/>
      <c r="P1" s="9"/>
    </row>
    <row r="2" spans="1:16" ht="12.75">
      <c r="A2" s="52"/>
      <c r="B2" s="53"/>
      <c r="C2" s="54"/>
      <c r="D2" s="10">
        <v>2007</v>
      </c>
      <c r="E2" s="10">
        <v>2008</v>
      </c>
      <c r="F2" s="10">
        <v>2009</v>
      </c>
      <c r="G2" s="40"/>
      <c r="H2" s="11">
        <v>2011</v>
      </c>
      <c r="I2" s="11">
        <v>2012</v>
      </c>
      <c r="J2" s="11">
        <v>2013</v>
      </c>
      <c r="K2" s="11">
        <v>2014</v>
      </c>
      <c r="L2" s="11">
        <v>2015</v>
      </c>
      <c r="M2" s="11">
        <v>2016</v>
      </c>
      <c r="N2" s="11">
        <v>2017</v>
      </c>
      <c r="O2" s="11">
        <v>2018</v>
      </c>
      <c r="P2" s="9"/>
    </row>
    <row r="3" spans="1:16" ht="12.75">
      <c r="A3" s="38" t="s">
        <v>95</v>
      </c>
      <c r="B3" s="38"/>
      <c r="C3" s="38"/>
      <c r="D3" s="12">
        <f aca="true" t="shared" si="0" ref="D3:O3">SUM(D4,D13)</f>
        <v>129242521.72</v>
      </c>
      <c r="E3" s="12">
        <f t="shared" si="0"/>
        <v>147278386.86</v>
      </c>
      <c r="F3" s="12">
        <f t="shared" si="0"/>
        <v>143436725.29</v>
      </c>
      <c r="G3" s="12">
        <f t="shared" si="0"/>
        <v>154987540.4</v>
      </c>
      <c r="H3" s="12">
        <f t="shared" si="0"/>
        <v>157337496.25</v>
      </c>
      <c r="I3" s="12">
        <f t="shared" si="0"/>
        <v>157824208.6365</v>
      </c>
      <c r="J3" s="12">
        <f t="shared" si="0"/>
        <v>160108621.0021125</v>
      </c>
      <c r="K3" s="12">
        <f t="shared" si="0"/>
        <v>162632464.37925333</v>
      </c>
      <c r="L3" s="12">
        <f t="shared" si="0"/>
        <v>165392540.70668617</v>
      </c>
      <c r="M3" s="12">
        <f t="shared" si="0"/>
        <v>168386358.0084629</v>
      </c>
      <c r="N3" s="12">
        <f t="shared" si="0"/>
        <v>171612101.72491845</v>
      </c>
      <c r="O3" s="12">
        <f t="shared" si="0"/>
        <v>174992005.60909912</v>
      </c>
      <c r="P3" s="9"/>
    </row>
    <row r="4" spans="1:16" ht="12.75">
      <c r="A4" s="37" t="s">
        <v>96</v>
      </c>
      <c r="B4" s="37"/>
      <c r="C4" s="37"/>
      <c r="D4" s="12">
        <f aca="true" t="shared" si="1" ref="D4:O4">SUM(D9,D8,D7,D6,D5,D12)</f>
        <v>120265234.78999999</v>
      </c>
      <c r="E4" s="12">
        <f t="shared" si="1"/>
        <v>132654582.43</v>
      </c>
      <c r="F4" s="12">
        <f t="shared" si="1"/>
        <v>126781215.76</v>
      </c>
      <c r="G4" s="12">
        <f t="shared" si="1"/>
        <v>131159803.74</v>
      </c>
      <c r="H4" s="12">
        <f t="shared" si="1"/>
        <v>131329410.86</v>
      </c>
      <c r="I4" s="12">
        <f t="shared" si="1"/>
        <v>135299745.5365</v>
      </c>
      <c r="J4" s="12">
        <f t="shared" si="1"/>
        <v>139410870.3221125</v>
      </c>
      <c r="K4" s="12">
        <f t="shared" si="1"/>
        <v>143657306.2392533</v>
      </c>
      <c r="L4" s="12">
        <f t="shared" si="1"/>
        <v>148043737.38668618</v>
      </c>
      <c r="M4" s="12">
        <f t="shared" si="1"/>
        <v>152575017.0184629</v>
      </c>
      <c r="N4" s="12">
        <f t="shared" si="1"/>
        <v>157256173.85491845</v>
      </c>
      <c r="O4" s="12">
        <f t="shared" si="1"/>
        <v>162004519.19909912</v>
      </c>
      <c r="P4" s="9"/>
    </row>
    <row r="5" spans="1:16" ht="15.75" customHeight="1">
      <c r="A5" s="29" t="s">
        <v>97</v>
      </c>
      <c r="B5" s="29"/>
      <c r="C5" s="29"/>
      <c r="D5" s="13">
        <v>21101198.72</v>
      </c>
      <c r="E5" s="13">
        <v>22743532.03</v>
      </c>
      <c r="F5" s="13">
        <v>23507444.7</v>
      </c>
      <c r="G5" s="13">
        <v>25644450</v>
      </c>
      <c r="H5" s="13">
        <v>26176200</v>
      </c>
      <c r="I5" s="13">
        <f aca="true" t="shared" si="2" ref="I5:N6">SUM(H5+(H5*2.5%))</f>
        <v>26830605</v>
      </c>
      <c r="J5" s="13">
        <f t="shared" si="2"/>
        <v>27501370.125</v>
      </c>
      <c r="K5" s="13">
        <f t="shared" si="2"/>
        <v>28188904.378125</v>
      </c>
      <c r="L5" s="13">
        <f t="shared" si="2"/>
        <v>28893626.987578128</v>
      </c>
      <c r="M5" s="13">
        <f t="shared" si="2"/>
        <v>29615967.66226758</v>
      </c>
      <c r="N5" s="13">
        <f t="shared" si="2"/>
        <v>30356366.85382427</v>
      </c>
      <c r="O5" s="13">
        <f>SUM(N5+(N5*2.4%))</f>
        <v>31084919.65831605</v>
      </c>
      <c r="P5" s="9"/>
    </row>
    <row r="6" spans="1:16" ht="24" customHeight="1">
      <c r="A6" s="41" t="s">
        <v>98</v>
      </c>
      <c r="B6" s="41"/>
      <c r="C6" s="41"/>
      <c r="D6" s="14">
        <v>1896938.61</v>
      </c>
      <c r="E6" s="13">
        <v>1871981.8</v>
      </c>
      <c r="F6" s="13">
        <v>1365693.04</v>
      </c>
      <c r="G6" s="13">
        <v>1402600</v>
      </c>
      <c r="H6" s="13">
        <v>1522700</v>
      </c>
      <c r="I6" s="13">
        <f t="shared" si="2"/>
        <v>1560767.5</v>
      </c>
      <c r="J6" s="13">
        <f t="shared" si="2"/>
        <v>1599786.6875</v>
      </c>
      <c r="K6" s="13">
        <f t="shared" si="2"/>
        <v>1639781.3546875</v>
      </c>
      <c r="L6" s="13">
        <f t="shared" si="2"/>
        <v>1680775.8885546876</v>
      </c>
      <c r="M6" s="13">
        <f t="shared" si="2"/>
        <v>1722795.2857685548</v>
      </c>
      <c r="N6" s="13">
        <f t="shared" si="2"/>
        <v>1765865.1679127687</v>
      </c>
      <c r="O6" s="13">
        <f>SUM(N6+(N6*2.4%))</f>
        <v>1808245.931942675</v>
      </c>
      <c r="P6" s="9"/>
    </row>
    <row r="7" spans="1:16" ht="24.75" customHeight="1">
      <c r="A7" s="41" t="s">
        <v>99</v>
      </c>
      <c r="B7" s="41"/>
      <c r="C7" s="41"/>
      <c r="D7" s="14">
        <v>49185306.09</v>
      </c>
      <c r="E7" s="13">
        <v>56184461.83</v>
      </c>
      <c r="F7" s="13">
        <v>47614438.24</v>
      </c>
      <c r="G7" s="13">
        <v>48868857</v>
      </c>
      <c r="H7" s="13">
        <v>52136237</v>
      </c>
      <c r="I7" s="13">
        <f aca="true" t="shared" si="3" ref="I7:O7">SUM(H7+(H7*4%))</f>
        <v>54221686.48</v>
      </c>
      <c r="J7" s="13">
        <f t="shared" si="3"/>
        <v>56390553.9392</v>
      </c>
      <c r="K7" s="13">
        <f t="shared" si="3"/>
        <v>58646176.096768</v>
      </c>
      <c r="L7" s="13">
        <f t="shared" si="3"/>
        <v>60992023.14063872</v>
      </c>
      <c r="M7" s="13">
        <f t="shared" si="3"/>
        <v>63431704.066264264</v>
      </c>
      <c r="N7" s="13">
        <f t="shared" si="3"/>
        <v>65968972.228914835</v>
      </c>
      <c r="O7" s="13">
        <f t="shared" si="3"/>
        <v>68607731.11807142</v>
      </c>
      <c r="P7" s="9"/>
    </row>
    <row r="8" spans="1:16" ht="12.75">
      <c r="A8" s="29" t="s">
        <v>100</v>
      </c>
      <c r="B8" s="29"/>
      <c r="C8" s="29"/>
      <c r="D8" s="14">
        <v>27976550</v>
      </c>
      <c r="E8" s="13">
        <v>29842959</v>
      </c>
      <c r="F8" s="13">
        <v>30613756</v>
      </c>
      <c r="G8" s="13">
        <v>30898021</v>
      </c>
      <c r="H8" s="13">
        <v>32360045</v>
      </c>
      <c r="I8" s="13">
        <f aca="true" t="shared" si="4" ref="I8:N8">SUM(H8+(H8*2.5%))</f>
        <v>33169046.125</v>
      </c>
      <c r="J8" s="13">
        <f t="shared" si="4"/>
        <v>33998272.278125</v>
      </c>
      <c r="K8" s="13">
        <f t="shared" si="4"/>
        <v>34848229.08507813</v>
      </c>
      <c r="L8" s="13">
        <f t="shared" si="4"/>
        <v>35719434.81220508</v>
      </c>
      <c r="M8" s="13">
        <f t="shared" si="4"/>
        <v>36612420.68251021</v>
      </c>
      <c r="N8" s="13">
        <f t="shared" si="4"/>
        <v>37527731.199572966</v>
      </c>
      <c r="O8" s="13">
        <f>SUM(N8+(N8*2.4%))</f>
        <v>38428396.74836272</v>
      </c>
      <c r="P8" s="9"/>
    </row>
    <row r="9" spans="1:16" ht="12.75">
      <c r="A9" s="41" t="s">
        <v>101</v>
      </c>
      <c r="B9" s="41"/>
      <c r="C9" s="41"/>
      <c r="D9" s="14">
        <f aca="true" t="shared" si="5" ref="D9:O9">SUM(D10,D11)</f>
        <v>17273409.04</v>
      </c>
      <c r="E9" s="13">
        <f t="shared" si="5"/>
        <v>17568980.79</v>
      </c>
      <c r="F9" s="13">
        <f t="shared" si="5"/>
        <v>19657696.39</v>
      </c>
      <c r="G9" s="13">
        <f t="shared" si="5"/>
        <v>20434415.14</v>
      </c>
      <c r="H9" s="13">
        <f t="shared" si="5"/>
        <v>15736462.86</v>
      </c>
      <c r="I9" s="13">
        <f t="shared" si="5"/>
        <v>16129874.431499999</v>
      </c>
      <c r="J9" s="13">
        <f t="shared" si="5"/>
        <v>16533121.292287499</v>
      </c>
      <c r="K9" s="13">
        <f t="shared" si="5"/>
        <v>16946449.324594688</v>
      </c>
      <c r="L9" s="13">
        <f t="shared" si="5"/>
        <v>17370110.557709556</v>
      </c>
      <c r="M9" s="13">
        <f t="shared" si="5"/>
        <v>17804363.321652293</v>
      </c>
      <c r="N9" s="13">
        <f t="shared" si="5"/>
        <v>18249472.4046936</v>
      </c>
      <c r="O9" s="13">
        <f t="shared" si="5"/>
        <v>18687459.742406245</v>
      </c>
      <c r="P9" s="9"/>
    </row>
    <row r="10" spans="1:16" ht="12.75">
      <c r="A10" s="29" t="s">
        <v>102</v>
      </c>
      <c r="B10" s="29"/>
      <c r="C10" s="29"/>
      <c r="D10" s="14">
        <v>4231856.93</v>
      </c>
      <c r="E10" s="13">
        <v>4682296.52</v>
      </c>
      <c r="F10" s="13">
        <v>6235394.48</v>
      </c>
      <c r="G10" s="13">
        <v>7370728.69</v>
      </c>
      <c r="H10" s="13">
        <v>3473404.86</v>
      </c>
      <c r="I10" s="13">
        <f aca="true" t="shared" si="6" ref="I10:N11">SUM(H10+(H10*2.5%))</f>
        <v>3560239.9814999998</v>
      </c>
      <c r="J10" s="13">
        <f t="shared" si="6"/>
        <v>3649245.9810375</v>
      </c>
      <c r="K10" s="13">
        <f t="shared" si="6"/>
        <v>3740477.1305634375</v>
      </c>
      <c r="L10" s="13">
        <f t="shared" si="6"/>
        <v>3833989.0588275236</v>
      </c>
      <c r="M10" s="13">
        <f t="shared" si="6"/>
        <v>3929838.7852982115</v>
      </c>
      <c r="N10" s="13">
        <f t="shared" si="6"/>
        <v>4028084.7549306666</v>
      </c>
      <c r="O10" s="13">
        <f>SUM(N10+(N10*2.4%))</f>
        <v>4124758.789049003</v>
      </c>
      <c r="P10" s="9"/>
    </row>
    <row r="11" spans="1:16" ht="12.75">
      <c r="A11" s="29" t="s">
        <v>103</v>
      </c>
      <c r="B11" s="29"/>
      <c r="C11" s="29"/>
      <c r="D11" s="14">
        <v>13041552.11</v>
      </c>
      <c r="E11" s="13">
        <v>12886684.27</v>
      </c>
      <c r="F11" s="13">
        <v>13422301.91</v>
      </c>
      <c r="G11" s="13">
        <v>13063686.45</v>
      </c>
      <c r="H11" s="13">
        <v>12263058</v>
      </c>
      <c r="I11" s="13">
        <f t="shared" si="6"/>
        <v>12569634.45</v>
      </c>
      <c r="J11" s="13">
        <f t="shared" si="6"/>
        <v>12883875.31125</v>
      </c>
      <c r="K11" s="13">
        <f t="shared" si="6"/>
        <v>13205972.19403125</v>
      </c>
      <c r="L11" s="13">
        <f t="shared" si="6"/>
        <v>13536121.498882031</v>
      </c>
      <c r="M11" s="13">
        <f t="shared" si="6"/>
        <v>13874524.536354082</v>
      </c>
      <c r="N11" s="13">
        <f t="shared" si="6"/>
        <v>14221387.649762934</v>
      </c>
      <c r="O11" s="13">
        <f>SUM(N11+(N11*2.4%))</f>
        <v>14562700.953357244</v>
      </c>
      <c r="P11" s="9"/>
    </row>
    <row r="12" spans="1:16" ht="12.75">
      <c r="A12" s="46" t="s">
        <v>104</v>
      </c>
      <c r="B12" s="47"/>
      <c r="C12" s="48"/>
      <c r="D12" s="14">
        <v>2831832.33</v>
      </c>
      <c r="E12" s="13">
        <v>4442666.98</v>
      </c>
      <c r="F12" s="13">
        <v>4022187.39</v>
      </c>
      <c r="G12" s="13">
        <v>3911460.6</v>
      </c>
      <c r="H12" s="13">
        <v>3397766</v>
      </c>
      <c r="I12" s="13">
        <v>3387766</v>
      </c>
      <c r="J12" s="13">
        <v>3387766</v>
      </c>
      <c r="K12" s="13">
        <v>3387766</v>
      </c>
      <c r="L12" s="13">
        <v>3387766</v>
      </c>
      <c r="M12" s="13">
        <v>3387766</v>
      </c>
      <c r="N12" s="13">
        <v>3387766</v>
      </c>
      <c r="O12" s="13">
        <v>3387766</v>
      </c>
      <c r="P12" s="9"/>
    </row>
    <row r="13" spans="1:16" ht="12.75">
      <c r="A13" s="30" t="s">
        <v>105</v>
      </c>
      <c r="B13" s="30"/>
      <c r="C13" s="30"/>
      <c r="D13" s="12">
        <v>8977286.93</v>
      </c>
      <c r="E13" s="15">
        <v>14623804.43</v>
      </c>
      <c r="F13" s="15">
        <v>16655509.53</v>
      </c>
      <c r="G13" s="15">
        <v>23827736.66</v>
      </c>
      <c r="H13" s="15">
        <v>26008085.39</v>
      </c>
      <c r="I13" s="15">
        <v>22524463.1</v>
      </c>
      <c r="J13" s="15">
        <v>20697750.68</v>
      </c>
      <c r="K13" s="15">
        <v>18975158.14</v>
      </c>
      <c r="L13" s="15">
        <v>17348803.32</v>
      </c>
      <c r="M13" s="15">
        <v>15811340.99</v>
      </c>
      <c r="N13" s="15">
        <v>14355927.87</v>
      </c>
      <c r="O13" s="15">
        <v>12987486.41</v>
      </c>
      <c r="P13" s="9"/>
    </row>
    <row r="14" spans="1:16" ht="14.25" customHeight="1">
      <c r="A14" s="43" t="s">
        <v>106</v>
      </c>
      <c r="B14" s="44"/>
      <c r="C14" s="45"/>
      <c r="D14" s="14">
        <v>2085165.02</v>
      </c>
      <c r="E14" s="13">
        <v>11859698.64</v>
      </c>
      <c r="F14" s="13">
        <v>3459945.94</v>
      </c>
      <c r="G14" s="13">
        <v>8839370</v>
      </c>
      <c r="H14" s="13">
        <v>12000000</v>
      </c>
      <c r="I14" s="13">
        <v>10000000</v>
      </c>
      <c r="J14" s="13">
        <v>10000000</v>
      </c>
      <c r="K14" s="13">
        <v>10000000</v>
      </c>
      <c r="L14" s="13">
        <v>10000000</v>
      </c>
      <c r="M14" s="13">
        <v>10000000</v>
      </c>
      <c r="N14" s="13">
        <v>10000000</v>
      </c>
      <c r="O14" s="13">
        <v>10000000</v>
      </c>
      <c r="P14" s="9"/>
    </row>
    <row r="15" spans="1:16" ht="27" customHeight="1">
      <c r="A15" s="42" t="s">
        <v>107</v>
      </c>
      <c r="B15" s="42"/>
      <c r="C15" s="42"/>
      <c r="D15" s="15">
        <v>1314335.26</v>
      </c>
      <c r="E15" s="15">
        <v>6567979.44</v>
      </c>
      <c r="F15" s="15">
        <v>25000000</v>
      </c>
      <c r="G15" s="15">
        <v>18000000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9"/>
    </row>
    <row r="16" spans="1:16" ht="27" customHeight="1">
      <c r="A16" s="61" t="s">
        <v>108</v>
      </c>
      <c r="B16" s="62"/>
      <c r="C16" s="63"/>
      <c r="D16" s="15">
        <v>9039225</v>
      </c>
      <c r="E16" s="15">
        <v>8445512.98</v>
      </c>
      <c r="F16" s="15">
        <v>6202230.9</v>
      </c>
      <c r="G16" s="15">
        <v>4526667.16</v>
      </c>
      <c r="H16" s="15">
        <v>200095.6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9"/>
    </row>
    <row r="17" spans="1:16" s="18" customFormat="1" ht="27" customHeight="1">
      <c r="A17" s="58" t="s">
        <v>109</v>
      </c>
      <c r="B17" s="59"/>
      <c r="C17" s="60"/>
      <c r="D17" s="16">
        <f aca="true" t="shared" si="7" ref="D17:O17">D3+D15+D16</f>
        <v>139596081.98000002</v>
      </c>
      <c r="E17" s="16">
        <f t="shared" si="7"/>
        <v>162291879.28</v>
      </c>
      <c r="F17" s="16">
        <f t="shared" si="7"/>
        <v>174638956.19</v>
      </c>
      <c r="G17" s="16">
        <f t="shared" si="7"/>
        <v>177514207.56</v>
      </c>
      <c r="H17" s="16">
        <f t="shared" si="7"/>
        <v>157537591.85</v>
      </c>
      <c r="I17" s="16">
        <f t="shared" si="7"/>
        <v>157824208.6365</v>
      </c>
      <c r="J17" s="16">
        <f t="shared" si="7"/>
        <v>160108621.0021125</v>
      </c>
      <c r="K17" s="16">
        <f t="shared" si="7"/>
        <v>162632464.37925333</v>
      </c>
      <c r="L17" s="16">
        <f t="shared" si="7"/>
        <v>165392540.70668617</v>
      </c>
      <c r="M17" s="16">
        <f t="shared" si="7"/>
        <v>168386358.0084629</v>
      </c>
      <c r="N17" s="16">
        <f t="shared" si="7"/>
        <v>171612101.72491845</v>
      </c>
      <c r="O17" s="16">
        <f t="shared" si="7"/>
        <v>174992005.60909912</v>
      </c>
      <c r="P17" s="17"/>
    </row>
    <row r="18" spans="1:16" ht="16.5" customHeight="1">
      <c r="A18" s="38" t="s">
        <v>110</v>
      </c>
      <c r="B18" s="38"/>
      <c r="C18" s="38"/>
      <c r="D18" s="15">
        <f aca="true" t="shared" si="8" ref="D18:O18">SUM(D19,D25,D27)</f>
        <v>125294817.02</v>
      </c>
      <c r="E18" s="15">
        <f t="shared" si="8"/>
        <v>148603993.39000002</v>
      </c>
      <c r="F18" s="15">
        <f t="shared" si="8"/>
        <v>162449232.88</v>
      </c>
      <c r="G18" s="15">
        <f t="shared" si="8"/>
        <v>168730217.84</v>
      </c>
      <c r="H18" s="15">
        <f t="shared" si="8"/>
        <v>149071233.49</v>
      </c>
      <c r="I18" s="15">
        <f t="shared" si="8"/>
        <v>146624208.641</v>
      </c>
      <c r="J18" s="15">
        <f t="shared" si="8"/>
        <v>151558621.004275</v>
      </c>
      <c r="K18" s="15">
        <f t="shared" si="8"/>
        <v>154782464.3761319</v>
      </c>
      <c r="L18" s="15">
        <f t="shared" si="8"/>
        <v>158192540.71078518</v>
      </c>
      <c r="M18" s="15">
        <f t="shared" si="8"/>
        <v>161186358.01080483</v>
      </c>
      <c r="N18" s="15">
        <f t="shared" si="8"/>
        <v>165212101.72382492</v>
      </c>
      <c r="O18" s="15">
        <f t="shared" si="8"/>
        <v>171392005.60527673</v>
      </c>
      <c r="P18" s="9"/>
    </row>
    <row r="19" spans="1:16" ht="51.75" customHeight="1">
      <c r="A19" s="55" t="s">
        <v>111</v>
      </c>
      <c r="B19" s="56"/>
      <c r="C19" s="57"/>
      <c r="D19" s="14">
        <v>102132920.47</v>
      </c>
      <c r="E19" s="14">
        <v>111324177.81</v>
      </c>
      <c r="F19" s="14">
        <v>118285357.2</v>
      </c>
      <c r="G19" s="13">
        <v>121278771.79</v>
      </c>
      <c r="H19" s="13">
        <v>107565843.64</v>
      </c>
      <c r="I19" s="13">
        <f aca="true" t="shared" si="9" ref="I19:N19">SUM(H19+(H19*2.5%))</f>
        <v>110254989.731</v>
      </c>
      <c r="J19" s="13">
        <f t="shared" si="9"/>
        <v>113011364.47427501</v>
      </c>
      <c r="K19" s="13">
        <f t="shared" si="9"/>
        <v>115836648.58613189</v>
      </c>
      <c r="L19" s="13">
        <f t="shared" si="9"/>
        <v>118732564.80078518</v>
      </c>
      <c r="M19" s="13">
        <f t="shared" si="9"/>
        <v>121700878.92080481</v>
      </c>
      <c r="N19" s="13">
        <f t="shared" si="9"/>
        <v>124743400.89382493</v>
      </c>
      <c r="O19" s="13">
        <f>SUM(N19+(N19*2.4%))</f>
        <v>127737242.51527673</v>
      </c>
      <c r="P19" s="9"/>
    </row>
    <row r="20" spans="1:16" ht="24" customHeight="1">
      <c r="A20" s="55" t="s">
        <v>112</v>
      </c>
      <c r="B20" s="56"/>
      <c r="C20" s="57"/>
      <c r="D20" s="14">
        <v>50126792.83</v>
      </c>
      <c r="E20" s="14">
        <v>54326239.62</v>
      </c>
      <c r="F20" s="14">
        <v>59468877.41</v>
      </c>
      <c r="G20" s="13">
        <v>62861903.39</v>
      </c>
      <c r="H20" s="13">
        <v>53985265</v>
      </c>
      <c r="I20" s="13">
        <f aca="true" t="shared" si="10" ref="I20:O20">SUM(H20+(H20*4.47%))</f>
        <v>56398406.3455</v>
      </c>
      <c r="J20" s="13">
        <f t="shared" si="10"/>
        <v>58919415.10914385</v>
      </c>
      <c r="K20" s="13">
        <f t="shared" si="10"/>
        <v>61553112.964522585</v>
      </c>
      <c r="L20" s="13">
        <f t="shared" si="10"/>
        <v>64304537.11403675</v>
      </c>
      <c r="M20" s="13">
        <f t="shared" si="10"/>
        <v>67178949.92303419</v>
      </c>
      <c r="N20" s="13">
        <f t="shared" si="10"/>
        <v>70181848.98459382</v>
      </c>
      <c r="O20" s="13">
        <f t="shared" si="10"/>
        <v>73318977.63420516</v>
      </c>
      <c r="P20" s="9"/>
    </row>
    <row r="21" spans="1:16" ht="24" customHeight="1">
      <c r="A21" s="55" t="s">
        <v>113</v>
      </c>
      <c r="B21" s="56"/>
      <c r="C21" s="57"/>
      <c r="D21" s="14">
        <v>7702982.97</v>
      </c>
      <c r="E21" s="14">
        <v>8887361.14</v>
      </c>
      <c r="F21" s="14">
        <v>9968140.79</v>
      </c>
      <c r="G21" s="13">
        <v>11060726</v>
      </c>
      <c r="H21" s="13">
        <v>11285833</v>
      </c>
      <c r="I21" s="13">
        <v>11285833</v>
      </c>
      <c r="J21" s="13">
        <v>11285833</v>
      </c>
      <c r="K21" s="13">
        <v>11285833</v>
      </c>
      <c r="L21" s="13">
        <f>SUM(K21+(K21*1%))</f>
        <v>11398691.33</v>
      </c>
      <c r="M21" s="13">
        <f>SUM(L21+(L21*1%))</f>
        <v>11512678.2433</v>
      </c>
      <c r="N21" s="13">
        <f>SUM(M21+(M21*1%))</f>
        <v>11627805.025733</v>
      </c>
      <c r="O21" s="13">
        <f>SUM(N21+(N21*1%))</f>
        <v>11744083.07599033</v>
      </c>
      <c r="P21" s="9"/>
    </row>
    <row r="22" spans="1:16" ht="24" customHeight="1">
      <c r="A22" s="55" t="s">
        <v>114</v>
      </c>
      <c r="B22" s="56"/>
      <c r="C22" s="57"/>
      <c r="D22" s="19" t="s">
        <v>115</v>
      </c>
      <c r="E22" s="19" t="s">
        <v>115</v>
      </c>
      <c r="F22" s="19" t="s">
        <v>115</v>
      </c>
      <c r="G22" s="19" t="s">
        <v>115</v>
      </c>
      <c r="H22" s="19" t="s">
        <v>115</v>
      </c>
      <c r="I22" s="13"/>
      <c r="J22" s="13"/>
      <c r="K22" s="13"/>
      <c r="L22" s="13"/>
      <c r="M22" s="13"/>
      <c r="N22" s="13"/>
      <c r="O22" s="13"/>
      <c r="P22" s="9"/>
    </row>
    <row r="23" spans="1:16" ht="51.75" customHeight="1">
      <c r="A23" s="55" t="s">
        <v>116</v>
      </c>
      <c r="B23" s="56"/>
      <c r="C23" s="57"/>
      <c r="D23" s="19" t="s">
        <v>115</v>
      </c>
      <c r="E23" s="19" t="s">
        <v>115</v>
      </c>
      <c r="F23" s="19" t="s">
        <v>115</v>
      </c>
      <c r="G23" s="19" t="s">
        <v>115</v>
      </c>
      <c r="H23" s="19" t="s">
        <v>115</v>
      </c>
      <c r="I23" s="13"/>
      <c r="J23" s="13"/>
      <c r="K23" s="13"/>
      <c r="L23" s="13"/>
      <c r="M23" s="13"/>
      <c r="N23" s="13"/>
      <c r="O23" s="13"/>
      <c r="P23" s="9"/>
    </row>
    <row r="24" spans="1:16" ht="24" customHeight="1">
      <c r="A24" s="55" t="s">
        <v>117</v>
      </c>
      <c r="B24" s="56"/>
      <c r="C24" s="57"/>
      <c r="D24" s="19" t="s">
        <v>115</v>
      </c>
      <c r="E24" s="19" t="s">
        <v>115</v>
      </c>
      <c r="F24" s="19" t="s">
        <v>115</v>
      </c>
      <c r="G24" s="19" t="s">
        <v>115</v>
      </c>
      <c r="H24" s="19" t="s">
        <v>115</v>
      </c>
      <c r="I24" s="13"/>
      <c r="J24" s="13"/>
      <c r="K24" s="13"/>
      <c r="L24" s="13"/>
      <c r="M24" s="13"/>
      <c r="N24" s="13"/>
      <c r="O24" s="13"/>
      <c r="P24" s="9"/>
    </row>
    <row r="25" spans="1:16" ht="17.25" customHeight="1">
      <c r="A25" s="46" t="s">
        <v>118</v>
      </c>
      <c r="B25" s="47"/>
      <c r="C25" s="48"/>
      <c r="D25" s="14">
        <v>21178337</v>
      </c>
      <c r="E25" s="14">
        <v>35140785</v>
      </c>
      <c r="F25" s="14">
        <v>42539112.17</v>
      </c>
      <c r="G25" s="13">
        <v>44113289.6</v>
      </c>
      <c r="H25" s="13">
        <v>38225849.85</v>
      </c>
      <c r="I25" s="13">
        <v>34122496.43</v>
      </c>
      <c r="J25" s="13">
        <v>36791747.56</v>
      </c>
      <c r="K25" s="13">
        <v>37557168.29</v>
      </c>
      <c r="L25" s="13">
        <v>38413575.9</v>
      </c>
      <c r="M25" s="13">
        <v>38771048.73</v>
      </c>
      <c r="N25" s="13">
        <v>40067057.33</v>
      </c>
      <c r="O25" s="13">
        <v>43496103.04</v>
      </c>
      <c r="P25" s="9"/>
    </row>
    <row r="26" spans="1:16" ht="26.25" customHeight="1">
      <c r="A26" s="55" t="s">
        <v>119</v>
      </c>
      <c r="B26" s="56"/>
      <c r="C26" s="57"/>
      <c r="D26" s="19" t="s">
        <v>115</v>
      </c>
      <c r="E26" s="19" t="s">
        <v>115</v>
      </c>
      <c r="F26" s="19" t="s">
        <v>115</v>
      </c>
      <c r="G26" s="19" t="s">
        <v>115</v>
      </c>
      <c r="H26" s="13"/>
      <c r="I26" s="13"/>
      <c r="J26" s="13"/>
      <c r="K26" s="13"/>
      <c r="L26" s="13"/>
      <c r="M26" s="13"/>
      <c r="N26" s="13"/>
      <c r="O26" s="13"/>
      <c r="P26" s="9"/>
    </row>
    <row r="27" spans="1:16" ht="24" customHeight="1">
      <c r="A27" s="41" t="s">
        <v>120</v>
      </c>
      <c r="B27" s="29"/>
      <c r="C27" s="29"/>
      <c r="D27" s="13">
        <v>1983559.55</v>
      </c>
      <c r="E27" s="13">
        <v>2139030.58</v>
      </c>
      <c r="F27" s="13">
        <v>1624763.51</v>
      </c>
      <c r="G27" s="13">
        <v>3338156.45</v>
      </c>
      <c r="H27" s="13">
        <v>3279540</v>
      </c>
      <c r="I27" s="13">
        <v>2246722.48</v>
      </c>
      <c r="J27" s="13">
        <v>1755508.97</v>
      </c>
      <c r="K27" s="13">
        <v>1388647.5</v>
      </c>
      <c r="L27" s="13">
        <v>1046400.01</v>
      </c>
      <c r="M27" s="13">
        <v>714430.36</v>
      </c>
      <c r="N27" s="13">
        <v>401643.5</v>
      </c>
      <c r="O27" s="13">
        <v>158660.05</v>
      </c>
      <c r="P27" s="9"/>
    </row>
    <row r="28" spans="1:16" ht="27" customHeight="1">
      <c r="A28" s="42" t="s">
        <v>121</v>
      </c>
      <c r="B28" s="38"/>
      <c r="C28" s="38"/>
      <c r="D28" s="15">
        <v>6020000</v>
      </c>
      <c r="E28" s="15">
        <v>6805700</v>
      </c>
      <c r="F28" s="15">
        <v>7663056.51</v>
      </c>
      <c r="G28" s="15">
        <v>8783989.72</v>
      </c>
      <c r="H28" s="15">
        <v>8466358.36</v>
      </c>
      <c r="I28" s="15">
        <v>11200000</v>
      </c>
      <c r="J28" s="15">
        <v>8550000</v>
      </c>
      <c r="K28" s="15">
        <v>7850000</v>
      </c>
      <c r="L28" s="15">
        <v>7200000</v>
      </c>
      <c r="M28" s="15">
        <v>7200000</v>
      </c>
      <c r="N28" s="15">
        <v>6400000</v>
      </c>
      <c r="O28" s="15">
        <v>3600000</v>
      </c>
      <c r="P28" s="9"/>
    </row>
    <row r="29" spans="1:16" ht="27.75" customHeight="1">
      <c r="A29" s="42" t="s">
        <v>122</v>
      </c>
      <c r="B29" s="38"/>
      <c r="C29" s="38"/>
      <c r="D29" s="20">
        <v>0</v>
      </c>
      <c r="E29" s="20">
        <v>0</v>
      </c>
      <c r="F29" s="20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9"/>
    </row>
    <row r="30" spans="1:16" ht="18.75" customHeight="1">
      <c r="A30" s="38" t="s">
        <v>123</v>
      </c>
      <c r="B30" s="38"/>
      <c r="C30" s="38"/>
      <c r="D30" s="15">
        <f aca="true" t="shared" si="11" ref="D30:O30">D18+D28+D29</f>
        <v>131314817.02</v>
      </c>
      <c r="E30" s="15">
        <f t="shared" si="11"/>
        <v>155409693.39000002</v>
      </c>
      <c r="F30" s="15">
        <f t="shared" si="11"/>
        <v>170112289.39</v>
      </c>
      <c r="G30" s="15">
        <f t="shared" si="11"/>
        <v>177514207.56</v>
      </c>
      <c r="H30" s="15">
        <f t="shared" si="11"/>
        <v>157537591.85000002</v>
      </c>
      <c r="I30" s="15">
        <f t="shared" si="11"/>
        <v>157824208.641</v>
      </c>
      <c r="J30" s="15">
        <f t="shared" si="11"/>
        <v>160108621.004275</v>
      </c>
      <c r="K30" s="15">
        <f t="shared" si="11"/>
        <v>162632464.3761319</v>
      </c>
      <c r="L30" s="15">
        <f t="shared" si="11"/>
        <v>165392540.71078518</v>
      </c>
      <c r="M30" s="15">
        <f t="shared" si="11"/>
        <v>168386358.01080483</v>
      </c>
      <c r="N30" s="15">
        <f t="shared" si="11"/>
        <v>171612101.72382492</v>
      </c>
      <c r="O30" s="15">
        <f t="shared" si="11"/>
        <v>174992005.60527673</v>
      </c>
      <c r="P30" s="9"/>
    </row>
    <row r="31" spans="1:16" ht="27" customHeight="1">
      <c r="A31" s="42" t="s">
        <v>124</v>
      </c>
      <c r="B31" s="42"/>
      <c r="C31" s="42"/>
      <c r="D31" s="15">
        <f aca="true" t="shared" si="12" ref="D31:O31">D17-D30</f>
        <v>8281264.960000023</v>
      </c>
      <c r="E31" s="15">
        <f t="shared" si="12"/>
        <v>6882185.889999986</v>
      </c>
      <c r="F31" s="15">
        <f t="shared" si="12"/>
        <v>4526666.800000012</v>
      </c>
      <c r="G31" s="15">
        <f t="shared" si="12"/>
        <v>0</v>
      </c>
      <c r="H31" s="15">
        <f t="shared" si="12"/>
        <v>0</v>
      </c>
      <c r="I31" s="15">
        <f t="shared" si="12"/>
        <v>-0.004500001668930054</v>
      </c>
      <c r="J31" s="15">
        <f t="shared" si="12"/>
        <v>-0.0021624863147735596</v>
      </c>
      <c r="K31" s="15">
        <f t="shared" si="12"/>
        <v>0.0031214356422424316</v>
      </c>
      <c r="L31" s="15">
        <f t="shared" si="12"/>
        <v>-0.004099011421203613</v>
      </c>
      <c r="M31" s="15">
        <f t="shared" si="12"/>
        <v>-0.002341926097869873</v>
      </c>
      <c r="N31" s="15">
        <f t="shared" si="12"/>
        <v>0.001093536615371704</v>
      </c>
      <c r="O31" s="15">
        <f t="shared" si="12"/>
        <v>0.0038223862648010254</v>
      </c>
      <c r="P31" s="9"/>
    </row>
    <row r="32" spans="1:16" ht="26.25" customHeight="1">
      <c r="A32" s="42" t="s">
        <v>125</v>
      </c>
      <c r="B32" s="42"/>
      <c r="C32" s="42"/>
      <c r="D32" s="15">
        <f aca="true" t="shared" si="13" ref="D32:O32">D27+D28+D29</f>
        <v>8003559.55</v>
      </c>
      <c r="E32" s="15">
        <f t="shared" si="13"/>
        <v>8944730.58</v>
      </c>
      <c r="F32" s="15">
        <f t="shared" si="13"/>
        <v>9287820.02</v>
      </c>
      <c r="G32" s="15">
        <f t="shared" si="13"/>
        <v>12122146.170000002</v>
      </c>
      <c r="H32" s="15">
        <f t="shared" si="13"/>
        <v>11745898.36</v>
      </c>
      <c r="I32" s="15">
        <f t="shared" si="13"/>
        <v>13446722.48</v>
      </c>
      <c r="J32" s="15">
        <f t="shared" si="13"/>
        <v>10305508.97</v>
      </c>
      <c r="K32" s="15">
        <f t="shared" si="13"/>
        <v>9238647.5</v>
      </c>
      <c r="L32" s="15">
        <f t="shared" si="13"/>
        <v>8246400.01</v>
      </c>
      <c r="M32" s="15">
        <f t="shared" si="13"/>
        <v>7914430.36</v>
      </c>
      <c r="N32" s="15">
        <f t="shared" si="13"/>
        <v>6801643.5</v>
      </c>
      <c r="O32" s="15">
        <f t="shared" si="13"/>
        <v>3758660.05</v>
      </c>
      <c r="P32" s="9"/>
    </row>
    <row r="33" spans="1:16" ht="24.75" customHeight="1">
      <c r="A33" s="42" t="s">
        <v>126</v>
      </c>
      <c r="B33" s="42"/>
      <c r="C33" s="42"/>
      <c r="D33" s="21">
        <f aca="true" t="shared" si="14" ref="D33:O33">D32/D3</f>
        <v>0.061926674313423476</v>
      </c>
      <c r="E33" s="21">
        <f t="shared" si="14"/>
        <v>0.06073349098060592</v>
      </c>
      <c r="F33" s="21">
        <f t="shared" si="14"/>
        <v>0.06475203614152449</v>
      </c>
      <c r="G33" s="21">
        <f t="shared" si="14"/>
        <v>0.07821368181412859</v>
      </c>
      <c r="H33" s="21">
        <f t="shared" si="14"/>
        <v>0.07465415835355903</v>
      </c>
      <c r="I33" s="21">
        <f t="shared" si="14"/>
        <v>0.08520063300916293</v>
      </c>
      <c r="J33" s="21">
        <f t="shared" si="14"/>
        <v>0.06436573437144293</v>
      </c>
      <c r="K33" s="21">
        <f t="shared" si="14"/>
        <v>0.05680690835782818</v>
      </c>
      <c r="L33" s="21">
        <f t="shared" si="14"/>
        <v>0.049859564250993034</v>
      </c>
      <c r="M33" s="21">
        <f t="shared" si="14"/>
        <v>0.0470016125629502</v>
      </c>
      <c r="N33" s="21">
        <f t="shared" si="14"/>
        <v>0.03963382204188917</v>
      </c>
      <c r="O33" s="21">
        <f t="shared" si="14"/>
        <v>0.021479038639034602</v>
      </c>
      <c r="P33" s="9"/>
    </row>
    <row r="34" spans="1:16" ht="25.5" customHeight="1">
      <c r="A34" s="42" t="s">
        <v>127</v>
      </c>
      <c r="B34" s="42"/>
      <c r="C34" s="42"/>
      <c r="D34" s="15">
        <v>38731857.25</v>
      </c>
      <c r="E34" s="15">
        <v>38494136.69</v>
      </c>
      <c r="F34" s="15">
        <v>55831080.18</v>
      </c>
      <c r="G34" s="15">
        <v>62904429.36</v>
      </c>
      <c r="H34" s="15">
        <v>52000000</v>
      </c>
      <c r="I34" s="15">
        <v>40800000</v>
      </c>
      <c r="J34" s="15">
        <v>32250000</v>
      </c>
      <c r="K34" s="15">
        <v>24400000</v>
      </c>
      <c r="L34" s="15">
        <v>17200000</v>
      </c>
      <c r="M34" s="15">
        <v>10000000</v>
      </c>
      <c r="N34" s="15">
        <v>3600000</v>
      </c>
      <c r="O34" s="15">
        <v>0</v>
      </c>
      <c r="P34" s="9"/>
    </row>
    <row r="35" spans="1:16" ht="25.5" customHeight="1">
      <c r="A35" s="42" t="s">
        <v>128</v>
      </c>
      <c r="B35" s="42"/>
      <c r="C35" s="42"/>
      <c r="D35" s="21">
        <f aca="true" t="shared" si="15" ref="D35:O35">D34/D3</f>
        <v>0.29968354636341277</v>
      </c>
      <c r="E35" s="21">
        <f t="shared" si="15"/>
        <v>0.2613698962264693</v>
      </c>
      <c r="F35" s="21">
        <f t="shared" si="15"/>
        <v>0.38923839112417596</v>
      </c>
      <c r="G35" s="21">
        <f t="shared" si="15"/>
        <v>0.40586765360397964</v>
      </c>
      <c r="H35" s="21">
        <f t="shared" si="15"/>
        <v>0.33049972981249853</v>
      </c>
      <c r="I35" s="21">
        <f t="shared" si="15"/>
        <v>0.25851547333888664</v>
      </c>
      <c r="J35" s="21">
        <f t="shared" si="15"/>
        <v>0.20142575582844152</v>
      </c>
      <c r="K35" s="21">
        <f t="shared" si="15"/>
        <v>0.15003154562732343</v>
      </c>
      <c r="L35" s="21">
        <f t="shared" si="15"/>
        <v>0.1039950165013982</v>
      </c>
      <c r="M35" s="21">
        <f t="shared" si="15"/>
        <v>0.05938723373004725</v>
      </c>
      <c r="N35" s="21">
        <f t="shared" si="15"/>
        <v>0.0209775415825309</v>
      </c>
      <c r="O35" s="21">
        <f t="shared" si="15"/>
        <v>0</v>
      </c>
      <c r="P35" s="9"/>
    </row>
    <row r="39" spans="1:5" ht="12.75">
      <c r="A39" s="22"/>
      <c r="B39" s="22"/>
      <c r="C39" s="22"/>
      <c r="D39" s="22"/>
      <c r="E39" s="22"/>
    </row>
    <row r="40" spans="1:5" ht="12.75">
      <c r="A40" s="22"/>
      <c r="B40" s="22"/>
      <c r="C40" s="22"/>
      <c r="D40" s="22"/>
      <c r="E40" s="22"/>
    </row>
  </sheetData>
  <sheetProtection/>
  <mergeCells count="38">
    <mergeCell ref="A30:C30"/>
    <mergeCell ref="A15:C15"/>
    <mergeCell ref="A17:C17"/>
    <mergeCell ref="A18:C18"/>
    <mergeCell ref="A19:C19"/>
    <mergeCell ref="A16:C16"/>
    <mergeCell ref="A20:C20"/>
    <mergeCell ref="A21:C21"/>
    <mergeCell ref="A22:C22"/>
    <mergeCell ref="A23:C23"/>
    <mergeCell ref="A35:C35"/>
    <mergeCell ref="A1:C2"/>
    <mergeCell ref="A31:C31"/>
    <mergeCell ref="A32:C32"/>
    <mergeCell ref="A33:C33"/>
    <mergeCell ref="A34:C34"/>
    <mergeCell ref="A24:C24"/>
    <mergeCell ref="A29:C29"/>
    <mergeCell ref="A26:C26"/>
    <mergeCell ref="A25:C25"/>
    <mergeCell ref="A27:C27"/>
    <mergeCell ref="A28:C28"/>
    <mergeCell ref="A14:C14"/>
    <mergeCell ref="A12:C12"/>
    <mergeCell ref="A5:C5"/>
    <mergeCell ref="A6:C6"/>
    <mergeCell ref="A7:C7"/>
    <mergeCell ref="A8:C8"/>
    <mergeCell ref="A9:C9"/>
    <mergeCell ref="A10:C10"/>
    <mergeCell ref="A11:C11"/>
    <mergeCell ref="A13:C13"/>
    <mergeCell ref="H1:K1"/>
    <mergeCell ref="L1:O1"/>
    <mergeCell ref="D1:F1"/>
    <mergeCell ref="A4:C4"/>
    <mergeCell ref="A3:C3"/>
    <mergeCell ref="G1:G2"/>
  </mergeCells>
  <printOptions/>
  <pageMargins left="0" right="0" top="0.984251968503937" bottom="0.984251968503937" header="0.11811023622047245" footer="0.1181102362204724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renia</dc:creator>
  <cp:keywords/>
  <dc:description/>
  <cp:lastModifiedBy>renata.olczak</cp:lastModifiedBy>
  <cp:lastPrinted>2011-02-16T08:11:40Z</cp:lastPrinted>
  <dcterms:created xsi:type="dcterms:W3CDTF">2011-02-13T19:30:02Z</dcterms:created>
  <dcterms:modified xsi:type="dcterms:W3CDTF">2011-02-16T08:14:11Z</dcterms:modified>
  <cp:category/>
  <cp:version/>
  <cp:contentType/>
  <cp:contentStatus/>
</cp:coreProperties>
</file>